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vendborgkommune-my.sharepoint.com/personal/anders_skovgaard_soeholm_svendborg_dk/Documents/Skrivebord/Projektforslag 25 MW, varmepumpe/Projektforslag, august 2025/"/>
    </mc:Choice>
  </mc:AlternateContent>
  <xr:revisionPtr revIDLastSave="1735" documentId="8_{93822143-DE63-41B4-BCBF-E123ABDB8613}" xr6:coauthVersionLast="47" xr6:coauthVersionMax="47" xr10:uidLastSave="{C3D388AD-1B96-4703-A0B1-12FDE92191A5}"/>
  <bookViews>
    <workbookView xWindow="-120" yWindow="-120" windowWidth="29040" windowHeight="15720" tabRatio="706" xr2:uid="{00000000-000D-0000-FFFF-FFFF00000000}"/>
  </bookViews>
  <sheets>
    <sheet name="Selskabsøkonomi+Følsomhed" sheetId="16" r:id="rId1"/>
    <sheet name="Brugerøkonomi" sheetId="1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16" l="1"/>
  <c r="O133" i="16" s="1"/>
  <c r="P133" i="16" s="1"/>
  <c r="Q133" i="16" s="1"/>
  <c r="R133" i="16" s="1"/>
  <c r="S133" i="16" s="1"/>
  <c r="T133" i="16" s="1"/>
  <c r="U133" i="16" s="1"/>
  <c r="V133" i="16" s="1"/>
  <c r="W133" i="16" s="1"/>
  <c r="X133" i="16" s="1"/>
  <c r="Y133" i="16" s="1"/>
  <c r="G133" i="16"/>
  <c r="H133" i="16" s="1"/>
  <c r="I133" i="16" s="1"/>
  <c r="J133" i="16" s="1"/>
  <c r="K133" i="16" s="1"/>
  <c r="L133" i="16" s="1"/>
  <c r="F29" i="16" l="1"/>
  <c r="F28" i="16"/>
  <c r="N136" i="16"/>
  <c r="N138" i="16" s="1"/>
  <c r="N28" i="16" s="1"/>
  <c r="N29" i="16" s="1"/>
  <c r="O136" i="16"/>
  <c r="O138" i="16" s="1"/>
  <c r="O28" i="16" s="1"/>
  <c r="O29" i="16" s="1"/>
  <c r="P136" i="16"/>
  <c r="P138" i="16" s="1"/>
  <c r="P28" i="16" s="1"/>
  <c r="P29" i="16" s="1"/>
  <c r="Q136" i="16"/>
  <c r="Q138" i="16" s="1"/>
  <c r="Q28" i="16" s="1"/>
  <c r="Q29" i="16" s="1"/>
  <c r="R136" i="16"/>
  <c r="R138" i="16" s="1"/>
  <c r="R28" i="16" s="1"/>
  <c r="R29" i="16" s="1"/>
  <c r="S136" i="16"/>
  <c r="S138" i="16" s="1"/>
  <c r="S28" i="16" s="1"/>
  <c r="S29" i="16" s="1"/>
  <c r="T136" i="16"/>
  <c r="T138" i="16" s="1"/>
  <c r="T28" i="16" s="1"/>
  <c r="T29" i="16" s="1"/>
  <c r="U136" i="16"/>
  <c r="U138" i="16" s="1"/>
  <c r="U28" i="16" s="1"/>
  <c r="U29" i="16" s="1"/>
  <c r="V136" i="16"/>
  <c r="V138" i="16" s="1"/>
  <c r="V28" i="16" s="1"/>
  <c r="V29" i="16" s="1"/>
  <c r="W136" i="16"/>
  <c r="W138" i="16" s="1"/>
  <c r="W28" i="16" s="1"/>
  <c r="W29" i="16" s="1"/>
  <c r="X136" i="16"/>
  <c r="X138" i="16" s="1"/>
  <c r="X28" i="16" s="1"/>
  <c r="X29" i="16" s="1"/>
  <c r="Y136" i="16"/>
  <c r="Y138" i="16" s="1"/>
  <c r="Y28" i="16" s="1"/>
  <c r="Y29" i="16" s="1"/>
  <c r="M136" i="16"/>
  <c r="M138" i="16" s="1"/>
  <c r="M28" i="16" s="1"/>
  <c r="M29" i="16" s="1"/>
  <c r="F134" i="16"/>
  <c r="F138" i="16"/>
  <c r="G134" i="16" l="1"/>
  <c r="G138" i="16" s="1"/>
  <c r="G28" i="16" s="1"/>
  <c r="G29" i="16" s="1"/>
  <c r="I134" i="16"/>
  <c r="I138" i="16" s="1"/>
  <c r="I28" i="16" s="1"/>
  <c r="I29" i="16" s="1"/>
  <c r="H134" i="16"/>
  <c r="H138" i="16" s="1"/>
  <c r="H28" i="16" s="1"/>
  <c r="H29" i="16" s="1"/>
  <c r="G23" i="16"/>
  <c r="K33" i="16"/>
  <c r="D10" i="16"/>
  <c r="D81" i="16"/>
  <c r="D82" i="16" s="1"/>
  <c r="D83" i="16" s="1"/>
  <c r="D5" i="16"/>
  <c r="F6" i="16" s="1"/>
  <c r="D96" i="16"/>
  <c r="D97" i="16" s="1"/>
  <c r="D94" i="16"/>
  <c r="D93" i="16" s="1"/>
  <c r="D89" i="16"/>
  <c r="D90" i="16" s="1"/>
  <c r="D87" i="16"/>
  <c r="D86" i="16" s="1"/>
  <c r="B44" i="16"/>
  <c r="B22" i="16"/>
  <c r="B20" i="16"/>
  <c r="B19" i="16"/>
  <c r="B18" i="16"/>
  <c r="B17" i="16"/>
  <c r="B14" i="16"/>
  <c r="B13" i="16"/>
  <c r="B12" i="16"/>
  <c r="B11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J33" i="16"/>
  <c r="I33" i="16"/>
  <c r="H33" i="16"/>
  <c r="G33" i="16"/>
  <c r="F33" i="16"/>
  <c r="G13" i="16" l="1"/>
  <c r="F13" i="16"/>
  <c r="J135" i="16"/>
  <c r="J138" i="16" s="1"/>
  <c r="J28" i="16" s="1"/>
  <c r="J29" i="16" s="1"/>
  <c r="F7" i="16"/>
  <c r="F5" i="16" s="1"/>
  <c r="F11" i="16"/>
  <c r="F12" i="16" s="1"/>
  <c r="D16" i="16"/>
  <c r="D44" i="16" s="1"/>
  <c r="D80" i="16"/>
  <c r="D79" i="16" s="1"/>
  <c r="H23" i="16"/>
  <c r="L135" i="16" l="1"/>
  <c r="L138" i="16" s="1"/>
  <c r="L28" i="16" s="1"/>
  <c r="L29" i="16" s="1"/>
  <c r="K135" i="16"/>
  <c r="K138" i="16" s="1"/>
  <c r="K28" i="16" s="1"/>
  <c r="K29" i="16" s="1"/>
  <c r="AB19" i="16"/>
  <c r="H19" i="16"/>
  <c r="F19" i="16"/>
  <c r="R19" i="16"/>
  <c r="S19" i="16"/>
  <c r="AH19" i="16"/>
  <c r="G19" i="16"/>
  <c r="N19" i="16"/>
  <c r="AI19" i="16"/>
  <c r="Z19" i="16"/>
  <c r="AD19" i="16"/>
  <c r="AE19" i="16"/>
  <c r="AC19" i="16"/>
  <c r="K19" i="16"/>
  <c r="T19" i="16"/>
  <c r="X19" i="16"/>
  <c r="I19" i="16"/>
  <c r="U19" i="16"/>
  <c r="AA19" i="16"/>
  <c r="V19" i="16"/>
  <c r="W19" i="16"/>
  <c r="L19" i="16"/>
  <c r="O19" i="16"/>
  <c r="J19" i="16"/>
  <c r="AG19" i="16"/>
  <c r="M19" i="16"/>
  <c r="Y19" i="16"/>
  <c r="AF19" i="16"/>
  <c r="P19" i="16"/>
  <c r="F17" i="16"/>
  <c r="Q19" i="16"/>
  <c r="V13" i="16"/>
  <c r="J13" i="16"/>
  <c r="W13" i="16"/>
  <c r="U13" i="16"/>
  <c r="I13" i="16"/>
  <c r="T13" i="16"/>
  <c r="H13" i="16"/>
  <c r="P13" i="16"/>
  <c r="S13" i="16"/>
  <c r="R13" i="16"/>
  <c r="Q13" i="16"/>
  <c r="O13" i="16"/>
  <c r="N13" i="16"/>
  <c r="Y13" i="16"/>
  <c r="M13" i="16"/>
  <c r="X13" i="16"/>
  <c r="L13" i="16"/>
  <c r="K13" i="16"/>
  <c r="I23" i="16"/>
  <c r="F20" i="16" l="1"/>
  <c r="G17" i="16" s="1"/>
  <c r="G20" i="16" s="1"/>
  <c r="H17" i="16" s="1"/>
  <c r="F18" i="16"/>
  <c r="F22" i="16" s="1"/>
  <c r="F24" i="16" s="1"/>
  <c r="F42" i="16" s="1"/>
  <c r="F43" i="16" s="1"/>
  <c r="F14" i="16"/>
  <c r="G11" i="16" s="1"/>
  <c r="J23" i="16"/>
  <c r="G14" i="16" l="1"/>
  <c r="G12" i="16"/>
  <c r="G18" i="16"/>
  <c r="H20" i="16"/>
  <c r="I17" i="16" s="1"/>
  <c r="I20" i="16" s="1"/>
  <c r="J17" i="16" s="1"/>
  <c r="J18" i="16" s="1"/>
  <c r="H18" i="16"/>
  <c r="C11" i="17"/>
  <c r="C12" i="17" s="1"/>
  <c r="F92" i="16"/>
  <c r="H11" i="16"/>
  <c r="K23" i="16"/>
  <c r="G22" i="16" l="1"/>
  <c r="G24" i="16" s="1"/>
  <c r="G42" i="16" s="1"/>
  <c r="G43" i="16" s="1"/>
  <c r="J20" i="16"/>
  <c r="K17" i="16" s="1"/>
  <c r="K20" i="16" s="1"/>
  <c r="L17" i="16" s="1"/>
  <c r="I18" i="16"/>
  <c r="F78" i="16"/>
  <c r="F85" i="16"/>
  <c r="H14" i="16"/>
  <c r="I11" i="16" s="1"/>
  <c r="H12" i="16"/>
  <c r="H22" i="16" s="1"/>
  <c r="H24" i="16" s="1"/>
  <c r="L23" i="16"/>
  <c r="H42" i="16" l="1"/>
  <c r="H43" i="16" s="1"/>
  <c r="K18" i="16"/>
  <c r="D11" i="17"/>
  <c r="D12" i="17" s="1"/>
  <c r="I14" i="16"/>
  <c r="J11" i="16" s="1"/>
  <c r="I12" i="16"/>
  <c r="I22" i="16" s="1"/>
  <c r="I24" i="16" s="1"/>
  <c r="M23" i="16"/>
  <c r="L20" i="16"/>
  <c r="M17" i="16" s="1"/>
  <c r="L18" i="16"/>
  <c r="I42" i="16" l="1"/>
  <c r="F11" i="17" s="1"/>
  <c r="F12" i="17" s="1"/>
  <c r="I43" i="16"/>
  <c r="E11" i="17"/>
  <c r="E12" i="17" s="1"/>
  <c r="G85" i="16"/>
  <c r="H78" i="16"/>
  <c r="H85" i="16"/>
  <c r="H92" i="16"/>
  <c r="G92" i="16"/>
  <c r="G78" i="16"/>
  <c r="I85" i="16"/>
  <c r="J14" i="16"/>
  <c r="K11" i="16" s="1"/>
  <c r="J12" i="16"/>
  <c r="J22" i="16" s="1"/>
  <c r="J24" i="16" s="1"/>
  <c r="J42" i="16" s="1"/>
  <c r="J43" i="16" s="1"/>
  <c r="N23" i="16"/>
  <c r="M20" i="16"/>
  <c r="N17" i="16" s="1"/>
  <c r="M18" i="16"/>
  <c r="G11" i="17" l="1"/>
  <c r="G12" i="17" s="1"/>
  <c r="J78" i="16"/>
  <c r="I92" i="16"/>
  <c r="I78" i="16"/>
  <c r="K14" i="16"/>
  <c r="L11" i="16" s="1"/>
  <c r="K12" i="16"/>
  <c r="K22" i="16" s="1"/>
  <c r="K24" i="16" s="1"/>
  <c r="K42" i="16" s="1"/>
  <c r="K43" i="16" s="1"/>
  <c r="O23" i="16"/>
  <c r="N20" i="16"/>
  <c r="O17" i="16" s="1"/>
  <c r="N18" i="16"/>
  <c r="H11" i="17" l="1"/>
  <c r="H12" i="17" s="1"/>
  <c r="J85" i="16"/>
  <c r="K85" i="16"/>
  <c r="J92" i="16"/>
  <c r="L12" i="16"/>
  <c r="L22" i="16" s="1"/>
  <c r="L24" i="16" s="1"/>
  <c r="L42" i="16" s="1"/>
  <c r="L43" i="16" s="1"/>
  <c r="L14" i="16"/>
  <c r="M11" i="16" s="1"/>
  <c r="P23" i="16"/>
  <c r="O20" i="16"/>
  <c r="P17" i="16" s="1"/>
  <c r="O18" i="16"/>
  <c r="K92" i="16" l="1"/>
  <c r="K78" i="16"/>
  <c r="I11" i="17"/>
  <c r="I12" i="17" s="1"/>
  <c r="M14" i="16"/>
  <c r="N11" i="16" s="1"/>
  <c r="M12" i="16"/>
  <c r="M22" i="16" s="1"/>
  <c r="M24" i="16" s="1"/>
  <c r="M42" i="16" s="1"/>
  <c r="M43" i="16" s="1"/>
  <c r="Q23" i="16"/>
  <c r="P20" i="16"/>
  <c r="Q17" i="16" s="1"/>
  <c r="P18" i="16"/>
  <c r="N14" i="16" l="1"/>
  <c r="O11" i="16" s="1"/>
  <c r="N12" i="16"/>
  <c r="N22" i="16" s="1"/>
  <c r="N24" i="16" s="1"/>
  <c r="N42" i="16" s="1"/>
  <c r="N43" i="16" s="1"/>
  <c r="L85" i="16"/>
  <c r="L92" i="16"/>
  <c r="L78" i="16"/>
  <c r="R23" i="16"/>
  <c r="Q20" i="16"/>
  <c r="R17" i="16" s="1"/>
  <c r="Q18" i="16"/>
  <c r="J11" i="17" l="1"/>
  <c r="J12" i="17" s="1"/>
  <c r="O14" i="16"/>
  <c r="P11" i="16" s="1"/>
  <c r="O12" i="16"/>
  <c r="O22" i="16" s="1"/>
  <c r="O24" i="16" s="1"/>
  <c r="O42" i="16" s="1"/>
  <c r="O43" i="16" s="1"/>
  <c r="S23" i="16"/>
  <c r="R20" i="16"/>
  <c r="S17" i="16" s="1"/>
  <c r="R18" i="16"/>
  <c r="P12" i="16" l="1"/>
  <c r="P22" i="16" s="1"/>
  <c r="P24" i="16" s="1"/>
  <c r="P42" i="16" s="1"/>
  <c r="P43" i="16" s="1"/>
  <c r="P14" i="16"/>
  <c r="Q11" i="16" s="1"/>
  <c r="M78" i="16"/>
  <c r="M92" i="16"/>
  <c r="M85" i="16"/>
  <c r="T23" i="16"/>
  <c r="S18" i="16"/>
  <c r="S20" i="16"/>
  <c r="T17" i="16" s="1"/>
  <c r="K11" i="17"/>
  <c r="N78" i="16" l="1"/>
  <c r="K12" i="17"/>
  <c r="Q12" i="16"/>
  <c r="Q22" i="16" s="1"/>
  <c r="Q24" i="16" s="1"/>
  <c r="Q42" i="16" s="1"/>
  <c r="Q43" i="16" s="1"/>
  <c r="Q14" i="16"/>
  <c r="R11" i="16" s="1"/>
  <c r="U23" i="16"/>
  <c r="T18" i="16"/>
  <c r="T20" i="16"/>
  <c r="U17" i="16" s="1"/>
  <c r="N92" i="16" l="1"/>
  <c r="N85" i="16"/>
  <c r="R12" i="16"/>
  <c r="R22" i="16" s="1"/>
  <c r="R24" i="16" s="1"/>
  <c r="R42" i="16" s="1"/>
  <c r="R43" i="16" s="1"/>
  <c r="R14" i="16"/>
  <c r="S11" i="16" s="1"/>
  <c r="V23" i="16"/>
  <c r="U18" i="16"/>
  <c r="U20" i="16"/>
  <c r="V17" i="16" s="1"/>
  <c r="L11" i="17"/>
  <c r="O78" i="16" l="1"/>
  <c r="L12" i="17"/>
  <c r="S12" i="16"/>
  <c r="S22" i="16" s="1"/>
  <c r="S24" i="16" s="1"/>
  <c r="S42" i="16" s="1"/>
  <c r="S43" i="16" s="1"/>
  <c r="S14" i="16"/>
  <c r="T11" i="16" s="1"/>
  <c r="W23" i="16"/>
  <c r="V18" i="16"/>
  <c r="V20" i="16"/>
  <c r="W17" i="16" s="1"/>
  <c r="O92" i="16" l="1"/>
  <c r="O85" i="16"/>
  <c r="T12" i="16"/>
  <c r="T22" i="16" s="1"/>
  <c r="T24" i="16" s="1"/>
  <c r="T42" i="16" s="1"/>
  <c r="T43" i="16" s="1"/>
  <c r="T14" i="16"/>
  <c r="U11" i="16" s="1"/>
  <c r="X23" i="16"/>
  <c r="W18" i="16"/>
  <c r="W20" i="16"/>
  <c r="X17" i="16" s="1"/>
  <c r="M11" i="17"/>
  <c r="P78" i="16" l="1"/>
  <c r="M12" i="17"/>
  <c r="U12" i="16"/>
  <c r="U22" i="16" s="1"/>
  <c r="U24" i="16" s="1"/>
  <c r="U42" i="16" s="1"/>
  <c r="U43" i="16" s="1"/>
  <c r="U14" i="16"/>
  <c r="V11" i="16" s="1"/>
  <c r="Y23" i="16"/>
  <c r="X18" i="16"/>
  <c r="X20" i="16"/>
  <c r="Y17" i="16" s="1"/>
  <c r="P85" i="16" l="1"/>
  <c r="P92" i="16"/>
  <c r="V14" i="16"/>
  <c r="W11" i="16" s="1"/>
  <c r="V12" i="16"/>
  <c r="V22" i="16" s="1"/>
  <c r="V24" i="16" s="1"/>
  <c r="V42" i="16" s="1"/>
  <c r="V43" i="16" s="1"/>
  <c r="Y18" i="16"/>
  <c r="Y20" i="16"/>
  <c r="Z17" i="16" s="1"/>
  <c r="N11" i="17"/>
  <c r="Q92" i="16" l="1"/>
  <c r="N12" i="17"/>
  <c r="W14" i="16"/>
  <c r="X11" i="16" s="1"/>
  <c r="W12" i="16"/>
  <c r="W22" i="16" s="1"/>
  <c r="W24" i="16" s="1"/>
  <c r="W42" i="16" s="1"/>
  <c r="W43" i="16" s="1"/>
  <c r="Z20" i="16"/>
  <c r="AA17" i="16" s="1"/>
  <c r="Z18" i="16"/>
  <c r="Q78" i="16" l="1"/>
  <c r="Q85" i="16"/>
  <c r="X14" i="16"/>
  <c r="Y11" i="16" s="1"/>
  <c r="X12" i="16"/>
  <c r="X22" i="16" s="1"/>
  <c r="X24" i="16" s="1"/>
  <c r="X42" i="16" s="1"/>
  <c r="X43" i="16" s="1"/>
  <c r="AA20" i="16"/>
  <c r="AB17" i="16" s="1"/>
  <c r="AA18" i="16"/>
  <c r="O11" i="17"/>
  <c r="R78" i="16" l="1"/>
  <c r="O12" i="17"/>
  <c r="Y14" i="16"/>
  <c r="Y12" i="16"/>
  <c r="Y22" i="16" s="1"/>
  <c r="Y24" i="16" s="1"/>
  <c r="Y42" i="16" s="1"/>
  <c r="Y43" i="16" s="1"/>
  <c r="AB20" i="16"/>
  <c r="AC17" i="16" s="1"/>
  <c r="AB18" i="16"/>
  <c r="R85" i="16" l="1"/>
  <c r="R92" i="16"/>
  <c r="AC20" i="16"/>
  <c r="AD17" i="16" s="1"/>
  <c r="AC18" i="16"/>
  <c r="P11" i="17"/>
  <c r="S92" i="16" l="1"/>
  <c r="P12" i="17"/>
  <c r="AD20" i="16"/>
  <c r="AE17" i="16" s="1"/>
  <c r="AD18" i="16"/>
  <c r="S85" i="16" l="1"/>
  <c r="S78" i="16"/>
  <c r="AE20" i="16"/>
  <c r="AF17" i="16" s="1"/>
  <c r="AE18" i="16"/>
  <c r="Q11" i="17"/>
  <c r="T92" i="16" l="1"/>
  <c r="Q12" i="17"/>
  <c r="AF18" i="16"/>
  <c r="AF20" i="16"/>
  <c r="AG17" i="16" s="1"/>
  <c r="T85" i="16" l="1"/>
  <c r="T78" i="16"/>
  <c r="AG18" i="16"/>
  <c r="AG20" i="16"/>
  <c r="AH17" i="16" s="1"/>
  <c r="R11" i="17"/>
  <c r="U85" i="16" l="1"/>
  <c r="R12" i="17"/>
  <c r="AH20" i="16"/>
  <c r="AI17" i="16" s="1"/>
  <c r="AH18" i="16"/>
  <c r="U78" i="16" l="1"/>
  <c r="U92" i="16"/>
  <c r="AI20" i="16"/>
  <c r="AI18" i="16"/>
  <c r="S11" i="17"/>
  <c r="V92" i="16" l="1"/>
  <c r="S12" i="17"/>
  <c r="V78" i="16" l="1"/>
  <c r="V85" i="16"/>
  <c r="T11" i="17"/>
  <c r="W92" i="16" l="1"/>
  <c r="T12" i="17"/>
  <c r="W85" i="16" l="1"/>
  <c r="W78" i="16"/>
  <c r="U11" i="17"/>
  <c r="X92" i="16" l="1"/>
  <c r="U12" i="17"/>
  <c r="X78" i="16" l="1"/>
  <c r="X85" i="16"/>
  <c r="E44" i="16"/>
  <c r="V11" i="17" l="1"/>
  <c r="V12" i="17" s="1"/>
  <c r="Y78" i="16" l="1"/>
  <c r="Y92" i="16"/>
  <c r="Y85" i="16"/>
</calcChain>
</file>

<file path=xl/sharedStrings.xml><?xml version="1.0" encoding="utf-8"?>
<sst xmlns="http://schemas.openxmlformats.org/spreadsheetml/2006/main" count="87" uniqueCount="66">
  <si>
    <t>Rente</t>
  </si>
  <si>
    <t>Udgifter, investeringer</t>
  </si>
  <si>
    <t>År 1</t>
  </si>
  <si>
    <t>År 2</t>
  </si>
  <si>
    <t>År 3</t>
  </si>
  <si>
    <t>År 4</t>
  </si>
  <si>
    <t>År 5</t>
  </si>
  <si>
    <t>År 6</t>
  </si>
  <si>
    <t>År 7</t>
  </si>
  <si>
    <t>År 8</t>
  </si>
  <si>
    <t>År 9</t>
  </si>
  <si>
    <t>År 10</t>
  </si>
  <si>
    <t>År 11</t>
  </si>
  <si>
    <t>År 12</t>
  </si>
  <si>
    <t>År 13</t>
  </si>
  <si>
    <t>År 14</t>
  </si>
  <si>
    <t>År 15</t>
  </si>
  <si>
    <t>År 16</t>
  </si>
  <si>
    <t>År 17</t>
  </si>
  <si>
    <t>År 18</t>
  </si>
  <si>
    <t>År 19</t>
  </si>
  <si>
    <t>År 20</t>
  </si>
  <si>
    <t xml:space="preserve">Samlede anlægsinvesteringer </t>
  </si>
  <si>
    <t>kr.</t>
  </si>
  <si>
    <t>Afbetaling af lån</t>
  </si>
  <si>
    <t>Driftsomkostninger projekt</t>
  </si>
  <si>
    <t>Driftsomkostninger</t>
  </si>
  <si>
    <t>Diverse omkostninger</t>
  </si>
  <si>
    <t>Personaleomkostninger</t>
  </si>
  <si>
    <t>Distributions- og administrationsomkostninger</t>
  </si>
  <si>
    <t>Andre finansielle omkostninger</t>
  </si>
  <si>
    <t>Indtægter</t>
  </si>
  <si>
    <t>Nettoomsætning</t>
  </si>
  <si>
    <t>Total</t>
  </si>
  <si>
    <t>Samlet likviditet</t>
  </si>
  <si>
    <t>Årlig varmeproduktion</t>
  </si>
  <si>
    <t>MWh/år</t>
  </si>
  <si>
    <t>Normalforbruger</t>
  </si>
  <si>
    <t>Besparelse kr/MWh</t>
  </si>
  <si>
    <t>Besparelse standardhus</t>
  </si>
  <si>
    <t>Andre driftsindtægter</t>
  </si>
  <si>
    <t>Afdrag eksisterende anlæg</t>
  </si>
  <si>
    <t>Varmepumpeanlæg</t>
  </si>
  <si>
    <t>Øvrige anlæg</t>
  </si>
  <si>
    <t>nominelt</t>
  </si>
  <si>
    <t>Hovedstol primo</t>
  </si>
  <si>
    <t>Hovedstol ultimo</t>
  </si>
  <si>
    <t>Løbende kapitaludgifter</t>
  </si>
  <si>
    <t>Inflationsfaktor</t>
  </si>
  <si>
    <t>Afdrag (= afskrivning)</t>
  </si>
  <si>
    <t>Selskabsøkonomi finansieret med serielån</t>
  </si>
  <si>
    <t>Selskabsøkonomisk nuværdi over 20 år</t>
  </si>
  <si>
    <t>Selskabsøkonomisk resultat årligt</t>
  </si>
  <si>
    <t>Serielån 2 - Øvrige anlæg (levetid 40 år men lån over 30 år)</t>
  </si>
  <si>
    <t>Driftsomkostninger Følsomhed - Samlet likviditet</t>
  </si>
  <si>
    <t>Rente Følsomhed -Samlet likviditet</t>
  </si>
  <si>
    <t>Anlægspris Følsomhed -Samlet likviditet</t>
  </si>
  <si>
    <t>Følsomheder</t>
  </si>
  <si>
    <t>Reference</t>
  </si>
  <si>
    <t>Kapitaludgifter inflationskorrigeret (i faste priser)</t>
  </si>
  <si>
    <t>Driftsomkostninger reference</t>
  </si>
  <si>
    <t>Scrapværdi indgår ikke i den selskabsøkonomiske nuværdi over 20 år, da anlæggets restværdi modsvares af restgælden (afskrivning = afdrag)</t>
  </si>
  <si>
    <t>Serielån 1 - Varmepumpeanlæg (levetid 25 år men lån over 20 år)</t>
  </si>
  <si>
    <t>Regulering</t>
  </si>
  <si>
    <t>Systemydelser prognose</t>
  </si>
  <si>
    <t>Systemydelser prognose reduktion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</si>
</sst>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r.&quot;;[Red]\-#,##0\ &quot;kr.&quot;"/>
    <numFmt numFmtId="8" formatCode="#,##0.00\ &quot;kr.&quot;;[Red]\-#,##0.00\ &quot;kr.&quot;"/>
    <numFmt numFmtId="43" formatCode="_-* #,##0.00_-;\-* #,##0.00_-;_-* &quot;-&quot;??_-;_-@_-"/>
    <numFmt numFmtId="164" formatCode="0\ &quot;år&quot;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CC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1"/>
    <xf numFmtId="9" fontId="0" fillId="0" borderId="0" xfId="0" applyNumberFormat="1"/>
    <xf numFmtId="2" fontId="0" fillId="0" borderId="0" xfId="0" applyNumberFormat="1"/>
    <xf numFmtId="4" fontId="0" fillId="0" borderId="0" xfId="0" applyNumberFormat="1"/>
    <xf numFmtId="3" fontId="0" fillId="0" borderId="0" xfId="0" applyNumberFormat="1"/>
    <xf numFmtId="3" fontId="3" fillId="0" borderId="0" xfId="0" applyNumberFormat="1" applyFont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/>
    <xf numFmtId="8" fontId="0" fillId="0" borderId="0" xfId="0" applyNumberFormat="1"/>
    <xf numFmtId="3" fontId="2" fillId="2" borderId="1" xfId="4" applyNumberFormat="1" applyFont="1" applyFill="1" applyBorder="1"/>
    <xf numFmtId="0" fontId="5" fillId="0" borderId="0" xfId="0" applyFont="1" applyAlignment="1">
      <alignment horizontal="left" indent="1"/>
    </xf>
    <xf numFmtId="6" fontId="5" fillId="0" borderId="0" xfId="0" applyNumberFormat="1" applyFont="1" applyAlignment="1">
      <alignment horizontal="center" vertical="center"/>
    </xf>
    <xf numFmtId="0" fontId="5" fillId="0" borderId="0" xfId="0" applyFont="1"/>
    <xf numFmtId="10" fontId="6" fillId="0" borderId="0" xfId="5" applyNumberFormat="1" applyFont="1"/>
    <xf numFmtId="10" fontId="5" fillId="0" borderId="0" xfId="5" applyNumberFormat="1" applyFont="1"/>
    <xf numFmtId="0" fontId="5" fillId="0" borderId="0" xfId="0" applyFont="1" applyAlignment="1">
      <alignment horizontal="left" indent="2"/>
    </xf>
    <xf numFmtId="3" fontId="5" fillId="0" borderId="0" xfId="0" applyNumberFormat="1" applyFont="1"/>
    <xf numFmtId="165" fontId="5" fillId="0" borderId="0" xfId="0" applyNumberFormat="1" applyFont="1"/>
    <xf numFmtId="0" fontId="0" fillId="4" borderId="0" xfId="0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10" fontId="5" fillId="0" borderId="0" xfId="0" applyNumberFormat="1" applyFont="1"/>
    <xf numFmtId="0" fontId="7" fillId="0" borderId="0" xfId="0" applyFont="1" applyAlignment="1">
      <alignment horizontal="left"/>
    </xf>
    <xf numFmtId="10" fontId="8" fillId="0" borderId="0" xfId="5" applyNumberFormat="1" applyFont="1"/>
    <xf numFmtId="0" fontId="9" fillId="0" borderId="0" xfId="0" applyFont="1"/>
    <xf numFmtId="9" fontId="6" fillId="0" borderId="0" xfId="5" applyFont="1"/>
    <xf numFmtId="9" fontId="5" fillId="0" borderId="0" xfId="0" applyNumberFormat="1" applyFont="1"/>
    <xf numFmtId="0" fontId="0" fillId="0" borderId="0" xfId="0" applyAlignment="1">
      <alignment horizontal="right"/>
    </xf>
    <xf numFmtId="3" fontId="8" fillId="0" borderId="0" xfId="0" applyNumberFormat="1" applyFont="1"/>
    <xf numFmtId="164" fontId="8" fillId="0" borderId="0" xfId="0" applyNumberFormat="1" applyFont="1"/>
    <xf numFmtId="0" fontId="8" fillId="0" borderId="0" xfId="0" applyFont="1"/>
    <xf numFmtId="10" fontId="8" fillId="0" borderId="0" xfId="0" applyNumberFormat="1" applyFont="1"/>
    <xf numFmtId="3" fontId="10" fillId="0" borderId="0" xfId="0" applyNumberFormat="1" applyFont="1"/>
    <xf numFmtId="9" fontId="0" fillId="0" borderId="0" xfId="5" applyFont="1"/>
    <xf numFmtId="9" fontId="2" fillId="2" borderId="1" xfId="1" applyNumberFormat="1"/>
  </cellXfs>
  <cellStyles count="6">
    <cellStyle name="Input" xfId="1" builtinId="20"/>
    <cellStyle name="Komma" xfId="4" builtinId="3"/>
    <cellStyle name="Normal" xfId="0" builtinId="0"/>
    <cellStyle name="Normal 2" xfId="2" xr:uid="{F75231A5-CE47-4AAF-BAE7-DE7FA9782248}"/>
    <cellStyle name="Percent 2" xfId="3" xr:uid="{B2E038E0-6609-4AC5-9D41-E10D13A9775D}"/>
    <cellStyle name="Procent" xfId="5" builtinId="5"/>
  </cellStyles>
  <dxfs count="1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Selskabsøkonomisk resultat</a:t>
            </a:r>
            <a:r>
              <a:rPr lang="da-DK" baseline="0"/>
              <a:t> årligt for projektscenariet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'Selskabsøkonomi+Følsomhed'!$F$41:$Y$41</c:f>
              <c:numCache>
                <c:formatCode>General</c:formatCode>
                <c:ptCount val="20"/>
                <c:pt idx="0">
                  <c:v>2028</c:v>
                </c:pt>
                <c:pt idx="1">
                  <c:v>2029</c:v>
                </c:pt>
                <c:pt idx="2">
                  <c:v>2030</c:v>
                </c:pt>
                <c:pt idx="3">
                  <c:v>2031</c:v>
                </c:pt>
                <c:pt idx="4">
                  <c:v>2032</c:v>
                </c:pt>
                <c:pt idx="5">
                  <c:v>2033</c:v>
                </c:pt>
                <c:pt idx="6">
                  <c:v>2034</c:v>
                </c:pt>
                <c:pt idx="7">
                  <c:v>2035</c:v>
                </c:pt>
                <c:pt idx="8">
                  <c:v>2036</c:v>
                </c:pt>
                <c:pt idx="9">
                  <c:v>2037</c:v>
                </c:pt>
                <c:pt idx="10">
                  <c:v>2038</c:v>
                </c:pt>
                <c:pt idx="11">
                  <c:v>2039</c:v>
                </c:pt>
                <c:pt idx="12">
                  <c:v>2040</c:v>
                </c:pt>
                <c:pt idx="13">
                  <c:v>2041</c:v>
                </c:pt>
                <c:pt idx="14">
                  <c:v>2042</c:v>
                </c:pt>
                <c:pt idx="15">
                  <c:v>2043</c:v>
                </c:pt>
                <c:pt idx="16">
                  <c:v>2044</c:v>
                </c:pt>
                <c:pt idx="17">
                  <c:v>2045</c:v>
                </c:pt>
                <c:pt idx="18">
                  <c:v>2046</c:v>
                </c:pt>
                <c:pt idx="19">
                  <c:v>2047</c:v>
                </c:pt>
              </c:numCache>
            </c:numRef>
          </c:cat>
          <c:val>
            <c:numRef>
              <c:f>'Selskabsøkonomi+Følsomhed'!$F$42:$Y$42</c:f>
              <c:numCache>
                <c:formatCode>#,##0</c:formatCode>
                <c:ptCount val="20"/>
                <c:pt idx="0">
                  <c:v>-2028339.5666666664</c:v>
                </c:pt>
                <c:pt idx="1">
                  <c:v>-1266854.9227357581</c:v>
                </c:pt>
                <c:pt idx="2">
                  <c:v>-535083.81163837761</c:v>
                </c:pt>
                <c:pt idx="3">
                  <c:v>167746.45900673792</c:v>
                </c:pt>
                <c:pt idx="4">
                  <c:v>1085018.8466640413</c:v>
                </c:pt>
                <c:pt idx="5">
                  <c:v>1693053.981396623</c:v>
                </c:pt>
                <c:pt idx="6">
                  <c:v>2274354.8489723019</c:v>
                </c:pt>
                <c:pt idx="7">
                  <c:v>9046006.4997869134</c:v>
                </c:pt>
                <c:pt idx="8">
                  <c:v>9874600.3552549817</c:v>
                </c:pt>
                <c:pt idx="9">
                  <c:v>10678508.254741687</c:v>
                </c:pt>
                <c:pt idx="10">
                  <c:v>11458379.707533699</c:v>
                </c:pt>
                <c:pt idx="11">
                  <c:v>12214848.242913358</c:v>
                </c:pt>
                <c:pt idx="12">
                  <c:v>12948531.787110299</c:v>
                </c:pt>
                <c:pt idx="13">
                  <c:v>13660033.031614427</c:v>
                </c:pt>
                <c:pt idx="14">
                  <c:v>14349939.793044146</c:v>
                </c:pt>
                <c:pt idx="15">
                  <c:v>15018825.364759356</c:v>
                </c:pt>
                <c:pt idx="16">
                  <c:v>15667248.860404592</c:v>
                </c:pt>
                <c:pt idx="17">
                  <c:v>16295755.549563643</c:v>
                </c:pt>
                <c:pt idx="18">
                  <c:v>16904877.185702845</c:v>
                </c:pt>
                <c:pt idx="19">
                  <c:v>17495132.326576468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4-4386-936B-266B499B0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2528607"/>
        <c:axId val="1432529087"/>
      </c:barChart>
      <c:catAx>
        <c:axId val="143252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432529087"/>
        <c:crosses val="autoZero"/>
        <c:auto val="1"/>
        <c:lblAlgn val="ctr"/>
        <c:lblOffset val="100"/>
        <c:noMultiLvlLbl val="0"/>
      </c:catAx>
      <c:valAx>
        <c:axId val="143252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432528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Rente Følsomhed - Samlet likviditet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'Selskabsøkonomi+Følsomhed'!$D$79</c:f>
              <c:strCache>
                <c:ptCount val="1"/>
                <c:pt idx="0">
                  <c:v>2,29%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'Selskabsøkonomi+Følsomhed'!$F$79:$Y$79</c:f>
              <c:numCache>
                <c:formatCode>#,##0</c:formatCode>
                <c:ptCount val="20"/>
                <c:pt idx="0">
                  <c:v>1476370.4333333336</c:v>
                </c:pt>
                <c:pt idx="1">
                  <c:v>3495237.4060224108</c:v>
                </c:pt>
                <c:pt idx="2">
                  <c:v>6034127.7069048546</c:v>
                </c:pt>
                <c:pt idx="3">
                  <c:v>9071141.0768282078</c:v>
                </c:pt>
                <c:pt idx="4">
                  <c:v>12827565.523020379</c:v>
                </c:pt>
                <c:pt idx="5">
                  <c:v>17000819.919758003</c:v>
                </c:pt>
                <c:pt idx="6">
                  <c:v>21570641.1737356</c:v>
                </c:pt>
                <c:pt idx="7">
                  <c:v>32733670.98270148</c:v>
                </c:pt>
                <c:pt idx="8">
                  <c:v>44552966.787514135</c:v>
                </c:pt>
                <c:pt idx="9">
                  <c:v>57009786.660785891</c:v>
                </c:pt>
                <c:pt idx="10">
                  <c:v>70085871.339718729</c:v>
                </c:pt>
                <c:pt idx="11">
                  <c:v>83763432.50374338</c:v>
                </c:pt>
                <c:pt idx="12">
                  <c:v>98025141.326289937</c:v>
                </c:pt>
                <c:pt idx="13">
                  <c:v>112854117.29444672</c:v>
                </c:pt>
                <c:pt idx="14">
                  <c:v>128233917.29040337</c:v>
                </c:pt>
                <c:pt idx="15">
                  <c:v>144148524.92871052</c:v>
                </c:pt>
                <c:pt idx="16">
                  <c:v>160582340.14352208</c:v>
                </c:pt>
                <c:pt idx="17">
                  <c:v>177520169.02011615</c:v>
                </c:pt>
                <c:pt idx="18">
                  <c:v>194947213.86511835</c:v>
                </c:pt>
                <c:pt idx="19">
                  <c:v>212849063.50997654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6-44ED-9C2F-05528D756DA6}"/>
            </c:ext>
          </c:extLst>
        </c:ser>
        <c:ser>
          <c:idx val="1"/>
          <c:order val="1"/>
          <c:tx>
            <c:strRef>
              <c:f>'Selskabsøkonomi+Følsomhed'!$D$80</c:f>
              <c:strCache>
                <c:ptCount val="1"/>
                <c:pt idx="0">
                  <c:v>2,79%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'Selskabsøkonomi+Følsomhed'!$F$80:$Y$80</c:f>
              <c:numCache>
                <c:formatCode>#,##0</c:formatCode>
                <c:ptCount val="20"/>
                <c:pt idx="0">
                  <c:v>-275984.56666666642</c:v>
                </c:pt>
                <c:pt idx="1">
                  <c:v>100021.45830998942</c:v>
                </c:pt>
                <c:pt idx="2">
                  <c:v>1101924.7029320225</c:v>
                </c:pt>
                <c:pt idx="3">
                  <c:v>2704304.6173970699</c:v>
                </c:pt>
                <c:pt idx="4">
                  <c:v>5125026.2638251744</c:v>
                </c:pt>
                <c:pt idx="5">
                  <c:v>8058180.452892296</c:v>
                </c:pt>
                <c:pt idx="6">
                  <c:v>11480268.504367247</c:v>
                </c:pt>
                <c:pt idx="7">
                  <c:v>21584786.658743646</c:v>
                </c:pt>
                <c:pt idx="8">
                  <c:v>32431734.738777466</c:v>
                </c:pt>
                <c:pt idx="9">
                  <c:v>43999398.80278419</c:v>
                </c:pt>
                <c:pt idx="10">
                  <c:v>56266630.996017456</c:v>
                </c:pt>
                <c:pt idx="11">
                  <c:v>69212835.699486464</c:v>
                </c:pt>
                <c:pt idx="12">
                  <c:v>82817956.004314885</c:v>
                </c:pt>
                <c:pt idx="13">
                  <c:v>97062460.504200488</c:v>
                </c:pt>
                <c:pt idx="14">
                  <c:v>111927330.39870089</c:v>
                </c:pt>
                <c:pt idx="15">
                  <c:v>127394046.90023415</c:v>
                </c:pt>
                <c:pt idx="16">
                  <c:v>143444578.93784222</c:v>
                </c:pt>
                <c:pt idx="17">
                  <c:v>160061371.15092108</c:v>
                </c:pt>
                <c:pt idx="18">
                  <c:v>177227332.16627359</c:v>
                </c:pt>
                <c:pt idx="19">
                  <c:v>194925823.15199092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6-44ED-9C2F-05528D756DA6}"/>
            </c:ext>
          </c:extLst>
        </c:ser>
        <c:ser>
          <c:idx val="4"/>
          <c:order val="2"/>
          <c:tx>
            <c:strRef>
              <c:f>'Selskabsøkonomi+Følsomhed'!$E$81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'Selskabsøkonomi+Følsomhed'!$F$81:$Y$81</c:f>
              <c:numCache>
                <c:formatCode>#,##0</c:formatCode>
                <c:ptCount val="20"/>
                <c:pt idx="0">
                  <c:v>-2028339.5666666664</c:v>
                </c:pt>
                <c:pt idx="1">
                  <c:v>-3295194.4894024245</c:v>
                </c:pt>
                <c:pt idx="2">
                  <c:v>-3830278.3010408022</c:v>
                </c:pt>
                <c:pt idx="3">
                  <c:v>-3662531.8420340642</c:v>
                </c:pt>
                <c:pt idx="4">
                  <c:v>-2577512.995370023</c:v>
                </c:pt>
                <c:pt idx="5">
                  <c:v>-884459.0139734</c:v>
                </c:pt>
                <c:pt idx="6">
                  <c:v>1389895.8349989019</c:v>
                </c:pt>
                <c:pt idx="7">
                  <c:v>10435902.334785815</c:v>
                </c:pt>
                <c:pt idx="8">
                  <c:v>20310502.690040797</c:v>
                </c:pt>
                <c:pt idx="9">
                  <c:v>30989010.944782484</c:v>
                </c:pt>
                <c:pt idx="10">
                  <c:v>42447390.652316183</c:v>
                </c:pt>
                <c:pt idx="11">
                  <c:v>54662238.895229541</c:v>
                </c:pt>
                <c:pt idx="12">
                  <c:v>67610770.682339847</c:v>
                </c:pt>
                <c:pt idx="13">
                  <c:v>81270803.71395427</c:v>
                </c:pt>
                <c:pt idx="14">
                  <c:v>95620743.50699842</c:v>
                </c:pt>
                <c:pt idx="15">
                  <c:v>110639568.87175778</c:v>
                </c:pt>
                <c:pt idx="16">
                  <c:v>126306817.73216237</c:v>
                </c:pt>
                <c:pt idx="17">
                  <c:v>142602573.281726</c:v>
                </c:pt>
                <c:pt idx="18">
                  <c:v>159507450.46742886</c:v>
                </c:pt>
                <c:pt idx="19">
                  <c:v>177002582.79400533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F6-44ED-9C2F-05528D756DA6}"/>
            </c:ext>
          </c:extLst>
        </c:ser>
        <c:ser>
          <c:idx val="2"/>
          <c:order val="3"/>
          <c:tx>
            <c:strRef>
              <c:f>'Selskabsøkonomi+Følsomhed'!$D$82</c:f>
              <c:strCache>
                <c:ptCount val="1"/>
                <c:pt idx="0">
                  <c:v>3,79%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'Selskabsøkonomi+Følsomhed'!$F$82:$Y$82</c:f>
              <c:numCache>
                <c:formatCode>#,##0</c:formatCode>
                <c:ptCount val="20"/>
                <c:pt idx="0">
                  <c:v>-3780694.5666666664</c:v>
                </c:pt>
                <c:pt idx="1">
                  <c:v>-6690410.437114846</c:v>
                </c:pt>
                <c:pt idx="2">
                  <c:v>-8762481.305013638</c:v>
                </c:pt>
                <c:pt idx="3">
                  <c:v>-10029368.301465206</c:v>
                </c:pt>
                <c:pt idx="4">
                  <c:v>-10280052.254565235</c:v>
                </c:pt>
                <c:pt idx="5">
                  <c:v>-9827098.4808391146</c:v>
                </c:pt>
                <c:pt idx="6">
                  <c:v>-8700476.8343694583</c:v>
                </c:pt>
                <c:pt idx="7">
                  <c:v>-712981.98917203024</c:v>
                </c:pt>
                <c:pt idx="8">
                  <c:v>8189270.6413041167</c:v>
                </c:pt>
                <c:pt idx="9">
                  <c:v>17978623.086780772</c:v>
                </c:pt>
                <c:pt idx="10">
                  <c:v>28628150.308614902</c:v>
                </c:pt>
                <c:pt idx="11">
                  <c:v>40111642.090972617</c:v>
                </c:pt>
                <c:pt idx="12">
                  <c:v>52403585.360364787</c:v>
                </c:pt>
                <c:pt idx="13">
                  <c:v>65479146.923708029</c:v>
                </c:pt>
                <c:pt idx="14">
                  <c:v>79314156.615295917</c:v>
                </c:pt>
                <c:pt idx="15">
                  <c:v>93885090.843281358</c:v>
                </c:pt>
                <c:pt idx="16">
                  <c:v>109169056.52648246</c:v>
                </c:pt>
                <c:pt idx="17">
                  <c:v>125143775.4125309</c:v>
                </c:pt>
                <c:pt idx="18">
                  <c:v>141787568.76858407</c:v>
                </c:pt>
                <c:pt idx="19">
                  <c:v>159079342.43601969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F6-44ED-9C2F-05528D756DA6}"/>
            </c:ext>
          </c:extLst>
        </c:ser>
        <c:ser>
          <c:idx val="3"/>
          <c:order val="4"/>
          <c:tx>
            <c:strRef>
              <c:f>'Selskabsøkonomi+Følsomhed'!$D$83</c:f>
              <c:strCache>
                <c:ptCount val="1"/>
                <c:pt idx="0">
                  <c:v>4,29%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'Selskabsøkonomi+Følsomhed'!$F$83:$Y$83</c:f>
              <c:numCache>
                <c:formatCode>#,##0</c:formatCode>
                <c:ptCount val="20"/>
                <c:pt idx="0">
                  <c:v>-5533049.5666666664</c:v>
                </c:pt>
                <c:pt idx="1">
                  <c:v>-10085626.384827264</c:v>
                </c:pt>
                <c:pt idx="2">
                  <c:v>-13694684.308986466</c:v>
                </c:pt>
                <c:pt idx="3">
                  <c:v>-16396204.760896344</c:v>
                </c:pt>
                <c:pt idx="4">
                  <c:v>-17982591.51376044</c:v>
                </c:pt>
                <c:pt idx="5">
                  <c:v>-18769737.947704822</c:v>
                </c:pt>
                <c:pt idx="6">
                  <c:v>-18790849.503737815</c:v>
                </c:pt>
                <c:pt idx="7">
                  <c:v>-11861866.313129872</c:v>
                </c:pt>
                <c:pt idx="8">
                  <c:v>-3931961.4074325599</c:v>
                </c:pt>
                <c:pt idx="9">
                  <c:v>4968235.2287790589</c:v>
                </c:pt>
                <c:pt idx="10">
                  <c:v>14808909.964913618</c:v>
                </c:pt>
                <c:pt idx="11">
                  <c:v>25561045.286715694</c:v>
                </c:pt>
                <c:pt idx="12">
                  <c:v>37196400.038389735</c:v>
                </c:pt>
                <c:pt idx="13">
                  <c:v>49687490.133461796</c:v>
                </c:pt>
                <c:pt idx="14">
                  <c:v>63007569.723593444</c:v>
                </c:pt>
                <c:pt idx="15">
                  <c:v>77130612.814804986</c:v>
                </c:pt>
                <c:pt idx="16">
                  <c:v>92031295.320802599</c:v>
                </c:pt>
                <c:pt idx="17">
                  <c:v>107684977.54333583</c:v>
                </c:pt>
                <c:pt idx="18">
                  <c:v>124067687.06973931</c:v>
                </c:pt>
                <c:pt idx="19">
                  <c:v>141156102.07803407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F6-44ED-9C2F-05528D75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932608"/>
        <c:axId val="1229927328"/>
      </c:lineChart>
      <c:catAx>
        <c:axId val="1229932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29927328"/>
        <c:crosses val="autoZero"/>
        <c:auto val="1"/>
        <c:lblAlgn val="ctr"/>
        <c:lblOffset val="100"/>
        <c:noMultiLvlLbl val="0"/>
      </c:catAx>
      <c:valAx>
        <c:axId val="12299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Samlet likviditet [DKK]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2993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Anlægspris Følsomhed -Samlet likviditet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'Selskabsøkonomi+Følsomhed'!$D$86</c:f>
              <c:strCache>
                <c:ptCount val="1"/>
                <c:pt idx="0">
                  <c:v>80%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'Selskabsøkonomi+Følsomhed'!$F$86:$Y$86</c:f>
              <c:numCache>
                <c:formatCode>#,##0</c:formatCode>
                <c:ptCount val="20"/>
                <c:pt idx="0">
                  <c:v>3343232.9466666691</c:v>
                </c:pt>
                <c:pt idx="1">
                  <c:v>7243749.0441923477</c:v>
                </c:pt>
                <c:pt idx="2">
                  <c:v>11677777.466310218</c:v>
                </c:pt>
                <c:pt idx="3">
                  <c:v>16622165.540658467</c:v>
                </c:pt>
                <c:pt idx="4">
                  <c:v>22296992.789418269</c:v>
                </c:pt>
                <c:pt idx="5">
                  <c:v>28398512.28882128</c:v>
                </c:pt>
                <c:pt idx="6">
                  <c:v>34905336.625141978</c:v>
                </c:pt>
                <c:pt idx="7">
                  <c:v>48013023.47497151</c:v>
                </c:pt>
                <c:pt idx="8">
                  <c:v>61783585.4091755</c:v>
                </c:pt>
                <c:pt idx="9">
                  <c:v>76197273.662968844</c:v>
                </c:pt>
                <c:pt idx="10">
                  <c:v>91234859.078995794</c:v>
                </c:pt>
                <c:pt idx="11">
                  <c:v>106877619.32332648</c:v>
                </c:pt>
                <c:pt idx="12">
                  <c:v>123107326.40301472</c:v>
                </c:pt>
                <c:pt idx="13">
                  <c:v>139906234.47830626</c:v>
                </c:pt>
                <c:pt idx="14">
                  <c:v>157257067.96274158</c:v>
                </c:pt>
                <c:pt idx="15">
                  <c:v>175143009.90454906</c:v>
                </c:pt>
                <c:pt idx="16">
                  <c:v>193547690.64287272</c:v>
                </c:pt>
                <c:pt idx="17">
                  <c:v>212455176.73252362</c:v>
                </c:pt>
                <c:pt idx="18">
                  <c:v>231849960.1310859</c:v>
                </c:pt>
                <c:pt idx="19">
                  <c:v>251716947.64234707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E-46D3-ADB4-7BAF4B255DF8}"/>
            </c:ext>
          </c:extLst>
        </c:ser>
        <c:ser>
          <c:idx val="1"/>
          <c:order val="1"/>
          <c:tx>
            <c:strRef>
              <c:f>'Selskabsøkonomi+Følsomhed'!$D$87</c:f>
              <c:strCache>
                <c:ptCount val="1"/>
                <c:pt idx="0">
                  <c:v>90%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'Selskabsøkonomi+Følsomhed'!$F$87:$Y$87</c:f>
              <c:numCache>
                <c:formatCode>#,##0</c:formatCode>
                <c:ptCount val="20"/>
                <c:pt idx="0">
                  <c:v>657446.69000000134</c:v>
                </c:pt>
                <c:pt idx="1">
                  <c:v>1974277.2773949616</c:v>
                </c:pt>
                <c:pt idx="2">
                  <c:v>3923749.5826347061</c:v>
                </c:pt>
                <c:pt idx="3">
                  <c:v>6479816.8493122011</c:v>
                </c:pt>
                <c:pt idx="4">
                  <c:v>9859739.8970241211</c:v>
                </c:pt>
                <c:pt idx="5">
                  <c:v>13757026.637423936</c:v>
                </c:pt>
                <c:pt idx="6">
                  <c:v>18147616.230070442</c:v>
                </c:pt>
                <c:pt idx="7">
                  <c:v>29224462.904878661</c:v>
                </c:pt>
                <c:pt idx="8">
                  <c:v>41047044.049608149</c:v>
                </c:pt>
                <c:pt idx="9">
                  <c:v>53593142.30387567</c:v>
                </c:pt>
                <c:pt idx="10">
                  <c:v>66841124.865656003</c:v>
                </c:pt>
                <c:pt idx="11">
                  <c:v>80769929.109278023</c:v>
                </c:pt>
                <c:pt idx="12">
                  <c:v>95359048.542677283</c:v>
                </c:pt>
                <c:pt idx="13">
                  <c:v>110588519.09613027</c:v>
                </c:pt>
                <c:pt idx="14">
                  <c:v>126438905.73486999</c:v>
                </c:pt>
                <c:pt idx="15">
                  <c:v>142891289.3881534</c:v>
                </c:pt>
                <c:pt idx="16">
                  <c:v>159927254.18751752</c:v>
                </c:pt>
                <c:pt idx="17">
                  <c:v>177528875.00712481</c:v>
                </c:pt>
                <c:pt idx="18">
                  <c:v>195678705.29925737</c:v>
                </c:pt>
                <c:pt idx="19">
                  <c:v>214359765.21817619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E-46D3-ADB4-7BAF4B255DF8}"/>
            </c:ext>
          </c:extLst>
        </c:ser>
        <c:ser>
          <c:idx val="4"/>
          <c:order val="2"/>
          <c:tx>
            <c:strRef>
              <c:f>'Selskabsøkonomi+Følsomhed'!$E$88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'Selskabsøkonomi+Følsomhed'!$F$88:$Y$88</c:f>
              <c:numCache>
                <c:formatCode>#,##0</c:formatCode>
                <c:ptCount val="20"/>
                <c:pt idx="0">
                  <c:v>-2028339.5666666664</c:v>
                </c:pt>
                <c:pt idx="1">
                  <c:v>-3295194.4894024245</c:v>
                </c:pt>
                <c:pt idx="2">
                  <c:v>-3830278.3010408022</c:v>
                </c:pt>
                <c:pt idx="3">
                  <c:v>-3662531.8420340642</c:v>
                </c:pt>
                <c:pt idx="4">
                  <c:v>-2577512.995370023</c:v>
                </c:pt>
                <c:pt idx="5">
                  <c:v>-884459.0139734</c:v>
                </c:pt>
                <c:pt idx="6">
                  <c:v>1389895.8349989019</c:v>
                </c:pt>
                <c:pt idx="7">
                  <c:v>10435902.334785815</c:v>
                </c:pt>
                <c:pt idx="8">
                  <c:v>20310502.690040797</c:v>
                </c:pt>
                <c:pt idx="9">
                  <c:v>30989010.944782484</c:v>
                </c:pt>
                <c:pt idx="10">
                  <c:v>42447390.652316183</c:v>
                </c:pt>
                <c:pt idx="11">
                  <c:v>54662238.895229541</c:v>
                </c:pt>
                <c:pt idx="12">
                  <c:v>67610770.682339847</c:v>
                </c:pt>
                <c:pt idx="13">
                  <c:v>81270803.71395427</c:v>
                </c:pt>
                <c:pt idx="14">
                  <c:v>95620743.50699842</c:v>
                </c:pt>
                <c:pt idx="15">
                  <c:v>110639568.87175778</c:v>
                </c:pt>
                <c:pt idx="16">
                  <c:v>126306817.73216237</c:v>
                </c:pt>
                <c:pt idx="17">
                  <c:v>142602573.281726</c:v>
                </c:pt>
                <c:pt idx="18">
                  <c:v>159507450.46742886</c:v>
                </c:pt>
                <c:pt idx="19">
                  <c:v>177002582.79400533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9E-46D3-ADB4-7BAF4B255DF8}"/>
            </c:ext>
          </c:extLst>
        </c:ser>
        <c:ser>
          <c:idx val="2"/>
          <c:order val="3"/>
          <c:tx>
            <c:strRef>
              <c:f>'Selskabsøkonomi+Følsomhed'!$D$89</c:f>
              <c:strCache>
                <c:ptCount val="1"/>
                <c:pt idx="0">
                  <c:v>110%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'Selskabsøkonomi+Følsomhed'!$F$89:$Y$89</c:f>
              <c:numCache>
                <c:formatCode>#,##0</c:formatCode>
                <c:ptCount val="20"/>
                <c:pt idx="0">
                  <c:v>-4714125.8233333342</c:v>
                </c:pt>
                <c:pt idx="1">
                  <c:v>-8564666.2561998144</c:v>
                </c:pt>
                <c:pt idx="2">
                  <c:v>-11584306.184716318</c:v>
                </c:pt>
                <c:pt idx="3">
                  <c:v>-13804880.533380337</c:v>
                </c:pt>
                <c:pt idx="4">
                  <c:v>-15014765.887764178</c:v>
                </c:pt>
                <c:pt idx="5">
                  <c:v>-15525944.665370755</c:v>
                </c:pt>
                <c:pt idx="6">
                  <c:v>-15367824.560072649</c:v>
                </c:pt>
                <c:pt idx="7">
                  <c:v>-8352658.235307049</c:v>
                </c:pt>
                <c:pt idx="8">
                  <c:v>-426038.66952656955</c:v>
                </c:pt>
                <c:pt idx="9">
                  <c:v>8384879.5856892876</c:v>
                </c:pt>
                <c:pt idx="10">
                  <c:v>18053656.438976355</c:v>
                </c:pt>
                <c:pt idx="11">
                  <c:v>28554548.681181047</c:v>
                </c:pt>
                <c:pt idx="12">
                  <c:v>39862492.822002366</c:v>
                </c:pt>
                <c:pt idx="13">
                  <c:v>51953088.331778228</c:v>
                </c:pt>
                <c:pt idx="14">
                  <c:v>64802581.279126786</c:v>
                </c:pt>
                <c:pt idx="15">
                  <c:v>78387848.355362073</c:v>
                </c:pt>
                <c:pt idx="16">
                  <c:v>92686381.276807114</c:v>
                </c:pt>
                <c:pt idx="17">
                  <c:v>107676271.55632712</c:v>
                </c:pt>
                <c:pt idx="18">
                  <c:v>123336195.63560024</c:v>
                </c:pt>
                <c:pt idx="19">
                  <c:v>139645400.36983436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9E-46D3-ADB4-7BAF4B255DF8}"/>
            </c:ext>
          </c:extLst>
        </c:ser>
        <c:ser>
          <c:idx val="3"/>
          <c:order val="4"/>
          <c:tx>
            <c:strRef>
              <c:f>'Selskabsøkonomi+Følsomhed'!$D$90</c:f>
              <c:strCache>
                <c:ptCount val="1"/>
                <c:pt idx="0">
                  <c:v>120%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'Selskabsøkonomi+Følsomhed'!$F$90:$Y$90</c:f>
              <c:numCache>
                <c:formatCode>#,##0</c:formatCode>
                <c:ptCount val="20"/>
                <c:pt idx="0">
                  <c:v>-7399912.0799999982</c:v>
                </c:pt>
                <c:pt idx="1">
                  <c:v>-13834138.022997197</c:v>
                </c:pt>
                <c:pt idx="2">
                  <c:v>-19338334.068391819</c:v>
                </c:pt>
                <c:pt idx="3">
                  <c:v>-23947229.224726588</c:v>
                </c:pt>
                <c:pt idx="4">
                  <c:v>-27452018.780158311</c:v>
                </c:pt>
                <c:pt idx="5">
                  <c:v>-30167430.31676808</c:v>
                </c:pt>
                <c:pt idx="6">
                  <c:v>-32125544.955144171</c:v>
                </c:pt>
                <c:pt idx="7">
                  <c:v>-27141218.805399872</c:v>
                </c:pt>
                <c:pt idx="8">
                  <c:v>-21162580.029093891</c:v>
                </c:pt>
                <c:pt idx="9">
                  <c:v>-14219251.773403864</c:v>
                </c:pt>
                <c:pt idx="10">
                  <c:v>-6340077.7743634246</c:v>
                </c:pt>
                <c:pt idx="11">
                  <c:v>2446858.4671326093</c:v>
                </c:pt>
                <c:pt idx="12">
                  <c:v>12114214.961664964</c:v>
                </c:pt>
                <c:pt idx="13">
                  <c:v>22635372.949602272</c:v>
                </c:pt>
                <c:pt idx="14">
                  <c:v>33984419.051255241</c:v>
                </c:pt>
                <c:pt idx="15">
                  <c:v>46136127.838966459</c:v>
                </c:pt>
                <c:pt idx="16">
                  <c:v>59065944.821451969</c:v>
                </c:pt>
                <c:pt idx="17">
                  <c:v>72749969.830928341</c:v>
                </c:pt>
                <c:pt idx="18">
                  <c:v>87164940.803771749</c:v>
                </c:pt>
                <c:pt idx="19">
                  <c:v>102288217.94566351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9E-46D3-ADB4-7BAF4B255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932608"/>
        <c:axId val="1229927328"/>
      </c:lineChart>
      <c:catAx>
        <c:axId val="1229932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29927328"/>
        <c:crosses val="autoZero"/>
        <c:auto val="1"/>
        <c:lblAlgn val="ctr"/>
        <c:lblOffset val="100"/>
        <c:noMultiLvlLbl val="0"/>
      </c:catAx>
      <c:valAx>
        <c:axId val="12299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Samlet likviditet [DKK]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2993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Driftsomkostninger Følsomhed - Samlet likviditet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'Selskabsøkonomi+Følsomhed'!$D$93</c:f>
              <c:strCache>
                <c:ptCount val="1"/>
                <c:pt idx="0">
                  <c:v>80%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'Selskabsøkonomi+Følsomhed'!$F$93:$Y$93</c:f>
              <c:numCache>
                <c:formatCode>#,##0</c:formatCode>
                <c:ptCount val="20"/>
                <c:pt idx="0">
                  <c:v>3272885.6333333366</c:v>
                </c:pt>
                <c:pt idx="1">
                  <c:v>7359160.4748832956</c:v>
                </c:pt>
                <c:pt idx="2">
                  <c:v>12229110.991816349</c:v>
                </c:pt>
                <c:pt idx="3">
                  <c:v>17853796.343680233</c:v>
                </c:pt>
                <c:pt idx="4">
                  <c:v>24399132.818915702</c:v>
                </c:pt>
                <c:pt idx="5">
                  <c:v>31612240.286026608</c:v>
                </c:pt>
                <c:pt idx="6">
                  <c:v>39466384.477856055</c:v>
                </c:pt>
                <c:pt idx="7">
                  <c:v>52908639.127642967</c:v>
                </c:pt>
                <c:pt idx="8">
                  <c:v>67179487.632897943</c:v>
                </c:pt>
                <c:pt idx="9">
                  <c:v>82254244.037639633</c:v>
                </c:pt>
                <c:pt idx="10">
                  <c:v>98108871.895173326</c:v>
                </c:pt>
                <c:pt idx="11">
                  <c:v>114719968.28808668</c:v>
                </c:pt>
                <c:pt idx="12">
                  <c:v>132064748.22519699</c:v>
                </c:pt>
                <c:pt idx="13">
                  <c:v>150121029.40681142</c:v>
                </c:pt>
                <c:pt idx="14">
                  <c:v>168867217.34985557</c:v>
                </c:pt>
                <c:pt idx="15">
                  <c:v>188282290.86461493</c:v>
                </c:pt>
                <c:pt idx="16">
                  <c:v>208345787.87501952</c:v>
                </c:pt>
                <c:pt idx="17">
                  <c:v>229037791.57458317</c:v>
                </c:pt>
                <c:pt idx="18">
                  <c:v>250338916.91028601</c:v>
                </c:pt>
                <c:pt idx="19">
                  <c:v>272230297.38686246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2-4D11-9AD8-D066A3ABBCA1}"/>
            </c:ext>
          </c:extLst>
        </c:ser>
        <c:ser>
          <c:idx val="1"/>
          <c:order val="1"/>
          <c:tx>
            <c:strRef>
              <c:f>'Selskabsøkonomi+Følsomhed'!$D$94</c:f>
              <c:strCache>
                <c:ptCount val="1"/>
                <c:pt idx="0">
                  <c:v>90%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'Selskabsøkonomi+Følsomhed'!$F$94:$Y$94</c:f>
              <c:numCache>
                <c:formatCode>#,##0</c:formatCode>
                <c:ptCount val="20"/>
                <c:pt idx="0">
                  <c:v>622273.03333332762</c:v>
                </c:pt>
                <c:pt idx="1">
                  <c:v>2031982.9927404299</c:v>
                </c:pt>
                <c:pt idx="2">
                  <c:v>4199416.3453877643</c:v>
                </c:pt>
                <c:pt idx="3">
                  <c:v>7095632.2508230731</c:v>
                </c:pt>
                <c:pt idx="4">
                  <c:v>10910809.911772832</c:v>
                </c:pt>
                <c:pt idx="5">
                  <c:v>15363890.636026599</c:v>
                </c:pt>
                <c:pt idx="6">
                  <c:v>20428140.156427473</c:v>
                </c:pt>
                <c:pt idx="7">
                  <c:v>31672270.731214389</c:v>
                </c:pt>
                <c:pt idx="8">
                  <c:v>43744995.16146937</c:v>
                </c:pt>
                <c:pt idx="9">
                  <c:v>56621627.491211057</c:v>
                </c:pt>
                <c:pt idx="10">
                  <c:v>70278131.273744762</c:v>
                </c:pt>
                <c:pt idx="11">
                  <c:v>84691103.591658115</c:v>
                </c:pt>
                <c:pt idx="12">
                  <c:v>99837759.453768417</c:v>
                </c:pt>
                <c:pt idx="13">
                  <c:v>115695916.56038284</c:v>
                </c:pt>
                <c:pt idx="14">
                  <c:v>132243980.428427</c:v>
                </c:pt>
                <c:pt idx="15">
                  <c:v>149460929.86818635</c:v>
                </c:pt>
                <c:pt idx="16">
                  <c:v>167326302.80359095</c:v>
                </c:pt>
                <c:pt idx="17">
                  <c:v>185820182.42815459</c:v>
                </c:pt>
                <c:pt idx="18">
                  <c:v>204923183.68885744</c:v>
                </c:pt>
                <c:pt idx="19">
                  <c:v>224616440.0904339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2-4D11-9AD8-D066A3ABBCA1}"/>
            </c:ext>
          </c:extLst>
        </c:ser>
        <c:ser>
          <c:idx val="4"/>
          <c:order val="2"/>
          <c:tx>
            <c:strRef>
              <c:f>'Selskabsøkonomi+Følsomhed'!$E$95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'Selskabsøkonomi+Følsomhed'!$F$95:$Y$95</c:f>
              <c:numCache>
                <c:formatCode>#,##0</c:formatCode>
                <c:ptCount val="20"/>
                <c:pt idx="0">
                  <c:v>-2028339.5666666664</c:v>
                </c:pt>
                <c:pt idx="1">
                  <c:v>-3295194.4894024245</c:v>
                </c:pt>
                <c:pt idx="2">
                  <c:v>-3830278.3010408022</c:v>
                </c:pt>
                <c:pt idx="3">
                  <c:v>-3662531.8420340642</c:v>
                </c:pt>
                <c:pt idx="4">
                  <c:v>-2577512.995370023</c:v>
                </c:pt>
                <c:pt idx="5">
                  <c:v>-884459.0139734</c:v>
                </c:pt>
                <c:pt idx="6">
                  <c:v>1389895.8349989019</c:v>
                </c:pt>
                <c:pt idx="7">
                  <c:v>10435902.334785815</c:v>
                </c:pt>
                <c:pt idx="8">
                  <c:v>20310502.690040797</c:v>
                </c:pt>
                <c:pt idx="9">
                  <c:v>30989010.944782484</c:v>
                </c:pt>
                <c:pt idx="10">
                  <c:v>42447390.652316183</c:v>
                </c:pt>
                <c:pt idx="11">
                  <c:v>54662238.895229541</c:v>
                </c:pt>
                <c:pt idx="12">
                  <c:v>67610770.682339847</c:v>
                </c:pt>
                <c:pt idx="13">
                  <c:v>81270803.71395427</c:v>
                </c:pt>
                <c:pt idx="14">
                  <c:v>95620743.50699842</c:v>
                </c:pt>
                <c:pt idx="15">
                  <c:v>110639568.87175778</c:v>
                </c:pt>
                <c:pt idx="16">
                  <c:v>126306817.73216237</c:v>
                </c:pt>
                <c:pt idx="17">
                  <c:v>142602573.281726</c:v>
                </c:pt>
                <c:pt idx="18">
                  <c:v>159507450.46742886</c:v>
                </c:pt>
                <c:pt idx="19">
                  <c:v>177002582.79400533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62-4D11-9AD8-D066A3ABBCA1}"/>
            </c:ext>
          </c:extLst>
        </c:ser>
        <c:ser>
          <c:idx val="2"/>
          <c:order val="3"/>
          <c:tx>
            <c:strRef>
              <c:f>'Selskabsøkonomi+Følsomhed'!$D$96</c:f>
              <c:strCache>
                <c:ptCount val="1"/>
                <c:pt idx="0">
                  <c:v>110%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'Selskabsøkonomi+Følsomhed'!$F$96:$Y$96</c:f>
              <c:numCache>
                <c:formatCode>#,##0</c:formatCode>
                <c:ptCount val="20"/>
                <c:pt idx="0">
                  <c:v>-4678952.1666666679</c:v>
                </c:pt>
                <c:pt idx="1">
                  <c:v>-8622371.9715452865</c:v>
                </c:pt>
                <c:pt idx="2">
                  <c:v>-11859972.94746938</c:v>
                </c:pt>
                <c:pt idx="3">
                  <c:v>-14420695.934891216</c:v>
                </c:pt>
                <c:pt idx="4">
                  <c:v>-16065835.902512893</c:v>
                </c:pt>
                <c:pt idx="5">
                  <c:v>-17132808.663973417</c:v>
                </c:pt>
                <c:pt idx="6">
                  <c:v>-17648348.486429688</c:v>
                </c:pt>
                <c:pt idx="7">
                  <c:v>-10800466.061642777</c:v>
                </c:pt>
                <c:pt idx="8">
                  <c:v>-3123989.7813877985</c:v>
                </c:pt>
                <c:pt idx="9">
                  <c:v>5356394.3983538859</c:v>
                </c:pt>
                <c:pt idx="10">
                  <c:v>14616650.030887581</c:v>
                </c:pt>
                <c:pt idx="11">
                  <c:v>24633374.198800936</c:v>
                </c:pt>
                <c:pt idx="12">
                  <c:v>35383781.910911232</c:v>
                </c:pt>
                <c:pt idx="13">
                  <c:v>46845690.867525652</c:v>
                </c:pt>
                <c:pt idx="14">
                  <c:v>58997506.585569799</c:v>
                </c:pt>
                <c:pt idx="15">
                  <c:v>71818207.875329152</c:v>
                </c:pt>
                <c:pt idx="16">
                  <c:v>85287332.660733745</c:v>
                </c:pt>
                <c:pt idx="17">
                  <c:v>99384964.135297388</c:v>
                </c:pt>
                <c:pt idx="18">
                  <c:v>114091717.24600023</c:v>
                </c:pt>
                <c:pt idx="19">
                  <c:v>129388725.4975767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62-4D11-9AD8-D066A3ABBCA1}"/>
            </c:ext>
          </c:extLst>
        </c:ser>
        <c:ser>
          <c:idx val="3"/>
          <c:order val="4"/>
          <c:tx>
            <c:strRef>
              <c:f>'Selskabsøkonomi+Følsomhed'!$D$97</c:f>
              <c:strCache>
                <c:ptCount val="1"/>
                <c:pt idx="0">
                  <c:v>120%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'Selskabsøkonomi+Følsomhed'!$F$97:$Y$97</c:f>
              <c:numCache>
                <c:formatCode>#,##0</c:formatCode>
                <c:ptCount val="20"/>
                <c:pt idx="0">
                  <c:v>-7329564.7666666657</c:v>
                </c:pt>
                <c:pt idx="1">
                  <c:v>-13949549.453688137</c:v>
                </c:pt>
                <c:pt idx="2">
                  <c:v>-19889667.593897942</c:v>
                </c:pt>
                <c:pt idx="3">
                  <c:v>-25178860.027748346</c:v>
                </c:pt>
                <c:pt idx="4">
                  <c:v>-29554158.809655733</c:v>
                </c:pt>
                <c:pt idx="5">
                  <c:v>-33381158.313973393</c:v>
                </c:pt>
                <c:pt idx="6">
                  <c:v>-36686592.807858229</c:v>
                </c:pt>
                <c:pt idx="7">
                  <c:v>-32036834.458071314</c:v>
                </c:pt>
                <c:pt idx="8">
                  <c:v>-26558482.252816331</c:v>
                </c:pt>
                <c:pt idx="9">
                  <c:v>-20276222.148074642</c:v>
                </c:pt>
                <c:pt idx="10">
                  <c:v>-13214090.590540942</c:v>
                </c:pt>
                <c:pt idx="11">
                  <c:v>-5395490.4976275824</c:v>
                </c:pt>
                <c:pt idx="12">
                  <c:v>3156793.1394827198</c:v>
                </c:pt>
                <c:pt idx="13">
                  <c:v>12420578.021097148</c:v>
                </c:pt>
                <c:pt idx="14">
                  <c:v>22374269.664141297</c:v>
                </c:pt>
                <c:pt idx="15">
                  <c:v>32996846.878900655</c:v>
                </c:pt>
                <c:pt idx="16">
                  <c:v>44267847.589305252</c:v>
                </c:pt>
                <c:pt idx="17">
                  <c:v>56167354.988868892</c:v>
                </c:pt>
                <c:pt idx="18">
                  <c:v>68675984.024571747</c:v>
                </c:pt>
                <c:pt idx="19">
                  <c:v>81774868.201148212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62-4D11-9AD8-D066A3ABB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932608"/>
        <c:axId val="1229927328"/>
      </c:lineChart>
      <c:catAx>
        <c:axId val="1229932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29927328"/>
        <c:crosses val="autoZero"/>
        <c:auto val="1"/>
        <c:lblAlgn val="ctr"/>
        <c:lblOffset val="100"/>
        <c:noMultiLvlLbl val="0"/>
      </c:catAx>
      <c:valAx>
        <c:axId val="12299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Samlet likviditet [DKK]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2993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Brugerøkonomi for et standardhus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Brugerøkonomi!$B$12</c:f>
              <c:strCache>
                <c:ptCount val="1"/>
                <c:pt idx="0">
                  <c:v>Besparelse standardhus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Brugerøkonomi!$C$10:$V$10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Brugerøkonomi!$C$12:$V$12</c:f>
              <c:numCache>
                <c:formatCode>#,##0</c:formatCode>
                <c:ptCount val="20"/>
                <c:pt idx="0">
                  <c:v>-166.24910632079451</c:v>
                </c:pt>
                <c:pt idx="1">
                  <c:v>-103.83542391229741</c:v>
                </c:pt>
                <c:pt idx="2">
                  <c:v>-43.857156342808587</c:v>
                </c:pt>
                <c:pt idx="3">
                  <c:v>13.749028691570647</c:v>
                </c:pt>
                <c:pt idx="4">
                  <c:v>88.931565780947892</c:v>
                </c:pt>
                <c:pt idx="5">
                  <c:v>138.76804258303346</c:v>
                </c:pt>
                <c:pt idx="6">
                  <c:v>186.41329455471228</c:v>
                </c:pt>
                <c:pt idx="7">
                  <c:v>741.43921514736155</c:v>
                </c:pt>
                <c:pt idx="8">
                  <c:v>809.3533801315059</c:v>
                </c:pt>
                <c:pt idx="9">
                  <c:v>875.24420632759904</c:v>
                </c:pt>
                <c:pt idx="10">
                  <c:v>939.16492956470506</c:v>
                </c:pt>
                <c:pt idx="11">
                  <c:v>1001.1674759003483</c:v>
                </c:pt>
                <c:pt idx="12">
                  <c:v>1061.3024925166562</c:v>
                </c:pt>
                <c:pt idx="13">
                  <c:v>1119.6193779084517</c:v>
                </c:pt>
                <c:pt idx="14">
                  <c:v>1176.1663113791892</c:v>
                </c:pt>
                <c:pt idx="15">
                  <c:v>1230.9902818602632</c:v>
                </c:pt>
                <c:pt idx="16">
                  <c:v>1284.1371160688873</c:v>
                </c:pt>
                <c:pt idx="17">
                  <c:v>1335.6515060194065</c:v>
                </c:pt>
                <c:pt idx="18">
                  <c:v>1385.5770359025614</c:v>
                </c:pt>
                <c:pt idx="19">
                  <c:v>1433.9562083469261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B-4A01-907E-E34F62D24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3958176"/>
        <c:axId val="1693956256"/>
      </c:barChart>
      <c:catAx>
        <c:axId val="169395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93956256"/>
        <c:crosses val="autoZero"/>
        <c:auto val="1"/>
        <c:lblAlgn val="ctr"/>
        <c:lblOffset val="100"/>
        <c:noMultiLvlLbl val="0"/>
      </c:catAx>
      <c:valAx>
        <c:axId val="169395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Årlig besparelse [DKK]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9395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89646</xdr:colOff>
      <xdr:row>46</xdr:row>
      <xdr:rowOff>45941</xdr:rowOff>
    </xdr:from>
    <xdr:to>
      <xdr:col>12</xdr:col>
      <xdr:colOff>349623</xdr:colOff>
      <xdr:row>70</xdr:row>
      <xdr:rowOff>116541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9F36ED-A76F-4180-92B5-566CAB8AC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1315571</xdr:colOff>
      <xdr:row>100</xdr:row>
      <xdr:rowOff>53787</xdr:rowOff>
    </xdr:from>
    <xdr:to>
      <xdr:col>5</xdr:col>
      <xdr:colOff>826611</xdr:colOff>
      <xdr:row>117</xdr:row>
      <xdr:rowOff>116247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F8D211C-41C1-4353-98A1-2262576C3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116541</xdr:colOff>
      <xdr:row>100</xdr:row>
      <xdr:rowOff>53789</xdr:rowOff>
    </xdr:from>
    <xdr:to>
      <xdr:col>13</xdr:col>
      <xdr:colOff>291529</xdr:colOff>
      <xdr:row>117</xdr:row>
      <xdr:rowOff>116249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A152CA-90BF-4F6C-8CEC-38D37F649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376519</xdr:colOff>
      <xdr:row>100</xdr:row>
      <xdr:rowOff>53787</xdr:rowOff>
    </xdr:from>
    <xdr:to>
      <xdr:col>20</xdr:col>
      <xdr:colOff>551507</xdr:colOff>
      <xdr:row>117</xdr:row>
      <xdr:rowOff>116247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1DDF63D-22B6-484D-8534-A2F0CDAE8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476251</xdr:colOff>
      <xdr:row>14</xdr:row>
      <xdr:rowOff>47626</xdr:rowOff>
    </xdr:from>
    <xdr:to>
      <xdr:col>10</xdr:col>
      <xdr:colOff>485776</xdr:colOff>
      <xdr:row>30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8BE15B3-98A7-4F41-A8D2-A4C1C47D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F3F1-65EA-4954-B956-FD9AFFA239CD}">
  <dimension ref="A2:AI142"/>
  <sheetViews>
    <sheetView tabSelected="1" topLeftCell="A40" zoomScale="85" zoomScaleNormal="85" workbookViewId="0">
      <selection activeCell="C78" sqref="C78"/>
    </sheetView>
  </sheetViews>
  <sheetFormatPr defaultRowHeight="15" x14ac:dyDescent="0.25"/>
  <cols>
    <col min="1" max="1" width="52.140625" customWidth="1"/>
    <col min="3" max="6" width="12.5703125" customWidth="1"/>
    <col min="7" max="35" width="11.7109375" customWidth="1"/>
  </cols>
  <sheetData>
    <row r="2" spans="1:35" x14ac:dyDescent="0.25">
      <c r="A2" s="23" t="s">
        <v>50</v>
      </c>
      <c r="C2" s="11"/>
      <c r="D2" s="11"/>
      <c r="E2" s="11"/>
    </row>
    <row r="3" spans="1:35" x14ac:dyDescent="0.25">
      <c r="B3" s="5"/>
      <c r="C3" s="6"/>
      <c r="D3" s="6"/>
      <c r="E3" s="6"/>
      <c r="F3" s="28">
        <v>1</v>
      </c>
      <c r="G3" s="28">
        <v>2</v>
      </c>
      <c r="H3" s="28">
        <v>3</v>
      </c>
      <c r="I3" s="28">
        <v>4</v>
      </c>
      <c r="J3" s="28">
        <v>5</v>
      </c>
      <c r="K3" s="28">
        <v>6</v>
      </c>
      <c r="L3" s="28">
        <v>7</v>
      </c>
      <c r="M3" s="28">
        <v>8</v>
      </c>
      <c r="N3" s="28">
        <v>9</v>
      </c>
      <c r="O3" s="28">
        <v>10</v>
      </c>
      <c r="P3" s="28">
        <v>11</v>
      </c>
      <c r="Q3" s="28">
        <v>12</v>
      </c>
      <c r="R3" s="28">
        <v>13</v>
      </c>
      <c r="S3" s="28">
        <v>14</v>
      </c>
      <c r="T3" s="28">
        <v>15</v>
      </c>
      <c r="U3" s="28">
        <v>16</v>
      </c>
      <c r="V3" s="28">
        <v>17</v>
      </c>
      <c r="W3" s="28">
        <v>18</v>
      </c>
      <c r="X3" s="28">
        <v>19</v>
      </c>
      <c r="Y3" s="28">
        <v>20</v>
      </c>
    </row>
    <row r="4" spans="1:35" x14ac:dyDescent="0.25">
      <c r="A4" s="8" t="s">
        <v>1</v>
      </c>
      <c r="B4" s="7"/>
      <c r="C4" s="7"/>
      <c r="D4" s="7"/>
      <c r="E4" s="7"/>
      <c r="F4" s="7">
        <v>2028</v>
      </c>
      <c r="G4" s="7">
        <v>2029</v>
      </c>
      <c r="H4" s="7">
        <v>2030</v>
      </c>
      <c r="I4" s="7">
        <v>2031</v>
      </c>
      <c r="J4" s="7">
        <v>2032</v>
      </c>
      <c r="K4" s="7">
        <v>2033</v>
      </c>
      <c r="L4" s="7">
        <v>2034</v>
      </c>
      <c r="M4" s="7">
        <v>2035</v>
      </c>
      <c r="N4" s="7">
        <v>2036</v>
      </c>
      <c r="O4" s="7">
        <v>2037</v>
      </c>
      <c r="P4" s="7">
        <v>2038</v>
      </c>
      <c r="Q4" s="7">
        <v>2039</v>
      </c>
      <c r="R4" s="7">
        <v>2040</v>
      </c>
      <c r="S4" s="7">
        <v>2041</v>
      </c>
      <c r="T4" s="7">
        <v>2042</v>
      </c>
      <c r="U4" s="7">
        <v>2043</v>
      </c>
      <c r="V4" s="7">
        <v>2044</v>
      </c>
      <c r="W4" s="7">
        <v>2045</v>
      </c>
      <c r="X4" s="7">
        <v>2046</v>
      </c>
      <c r="Y4" s="7">
        <v>2047</v>
      </c>
    </row>
    <row r="5" spans="1:35" x14ac:dyDescent="0.25">
      <c r="A5" t="s">
        <v>22</v>
      </c>
      <c r="B5" s="9" t="s">
        <v>23</v>
      </c>
      <c r="D5" s="30">
        <f>D85</f>
        <v>1</v>
      </c>
      <c r="E5" s="9"/>
      <c r="F5" s="5">
        <f>F6+F7</f>
        <v>350471000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35" x14ac:dyDescent="0.25">
      <c r="A6" s="14" t="s">
        <v>42</v>
      </c>
      <c r="B6" s="9" t="s">
        <v>23</v>
      </c>
      <c r="D6" s="16"/>
      <c r="E6" s="16"/>
      <c r="F6" s="32">
        <f>218700000*$D$5</f>
        <v>218700000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35" x14ac:dyDescent="0.25">
      <c r="A7" s="14" t="s">
        <v>43</v>
      </c>
      <c r="B7" s="9" t="s">
        <v>23</v>
      </c>
      <c r="C7" s="16"/>
      <c r="D7" s="16"/>
      <c r="E7" s="16"/>
      <c r="F7" s="32">
        <f>131771000*$D$5</f>
        <v>131771000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35" x14ac:dyDescent="0.25">
      <c r="B8" s="9"/>
      <c r="C8" s="9"/>
      <c r="D8" s="9"/>
      <c r="E8" s="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35" x14ac:dyDescent="0.25">
      <c r="A9" s="8" t="s">
        <v>24</v>
      </c>
      <c r="B9" s="7"/>
      <c r="C9" s="7"/>
      <c r="D9" s="7"/>
      <c r="E9" s="7"/>
      <c r="F9" s="7">
        <v>2028</v>
      </c>
      <c r="G9" s="7">
        <v>2029</v>
      </c>
      <c r="H9" s="7">
        <v>2030</v>
      </c>
      <c r="I9" s="7">
        <v>2031</v>
      </c>
      <c r="J9" s="7">
        <v>2032</v>
      </c>
      <c r="K9" s="7">
        <v>2033</v>
      </c>
      <c r="L9" s="7">
        <v>2034</v>
      </c>
      <c r="M9" s="7">
        <v>2035</v>
      </c>
      <c r="N9" s="7">
        <v>2036</v>
      </c>
      <c r="O9" s="7">
        <v>2037</v>
      </c>
      <c r="P9" s="7">
        <v>2038</v>
      </c>
      <c r="Q9" s="7">
        <v>2039</v>
      </c>
      <c r="R9" s="7">
        <v>2040</v>
      </c>
      <c r="S9" s="7">
        <v>2041</v>
      </c>
      <c r="T9" s="7">
        <v>2042</v>
      </c>
      <c r="U9" s="7">
        <v>2043</v>
      </c>
      <c r="V9" s="7">
        <v>2044</v>
      </c>
      <c r="W9" s="7">
        <v>2045</v>
      </c>
      <c r="X9" s="7">
        <v>2046</v>
      </c>
      <c r="Y9" s="7">
        <v>2047</v>
      </c>
      <c r="Z9" s="22">
        <v>2048</v>
      </c>
      <c r="AA9" s="22">
        <v>2049</v>
      </c>
      <c r="AB9" s="22">
        <v>2050</v>
      </c>
      <c r="AC9" s="22">
        <v>2051</v>
      </c>
      <c r="AD9" s="22">
        <v>2052</v>
      </c>
      <c r="AE9" s="22">
        <v>2053</v>
      </c>
      <c r="AF9" s="22">
        <v>2054</v>
      </c>
      <c r="AG9" s="22">
        <v>2055</v>
      </c>
      <c r="AH9" s="22">
        <v>2056</v>
      </c>
      <c r="AI9" s="22">
        <v>2057</v>
      </c>
    </row>
    <row r="10" spans="1:35" s="16" customFormat="1" x14ac:dyDescent="0.25">
      <c r="A10" s="24" t="s">
        <v>62</v>
      </c>
      <c r="C10" s="33">
        <v>20</v>
      </c>
      <c r="D10" s="27">
        <f>$D$78</f>
        <v>3.2899999999999999E-2</v>
      </c>
      <c r="E10" s="18" t="s">
        <v>44</v>
      </c>
    </row>
    <row r="11" spans="1:35" s="16" customFormat="1" x14ac:dyDescent="0.25">
      <c r="A11" s="19" t="s">
        <v>45</v>
      </c>
      <c r="B11" s="15" t="str">
        <f t="shared" ref="B11:B14" si="0">$B$5</f>
        <v>kr.</v>
      </c>
      <c r="C11" s="34"/>
      <c r="D11" s="34"/>
      <c r="F11" s="20">
        <f>F6</f>
        <v>218700000</v>
      </c>
      <c r="G11" s="20">
        <f t="shared" ref="G11:Y11" si="1">F14+G6</f>
        <v>207765000</v>
      </c>
      <c r="H11" s="20">
        <f t="shared" si="1"/>
        <v>196830000</v>
      </c>
      <c r="I11" s="20">
        <f t="shared" si="1"/>
        <v>185895000</v>
      </c>
      <c r="J11" s="20">
        <f t="shared" si="1"/>
        <v>174960000</v>
      </c>
      <c r="K11" s="20">
        <f t="shared" si="1"/>
        <v>164025000</v>
      </c>
      <c r="L11" s="20">
        <f t="shared" si="1"/>
        <v>153090000</v>
      </c>
      <c r="M11" s="20">
        <f t="shared" si="1"/>
        <v>142155000</v>
      </c>
      <c r="N11" s="20">
        <f t="shared" si="1"/>
        <v>131220000</v>
      </c>
      <c r="O11" s="20">
        <f t="shared" si="1"/>
        <v>120285000</v>
      </c>
      <c r="P11" s="20">
        <f t="shared" si="1"/>
        <v>109350000</v>
      </c>
      <c r="Q11" s="20">
        <f t="shared" si="1"/>
        <v>98415000</v>
      </c>
      <c r="R11" s="20">
        <f t="shared" si="1"/>
        <v>87480000</v>
      </c>
      <c r="S11" s="20">
        <f t="shared" si="1"/>
        <v>76545000</v>
      </c>
      <c r="T11" s="20">
        <f t="shared" si="1"/>
        <v>65610000</v>
      </c>
      <c r="U11" s="20">
        <f t="shared" si="1"/>
        <v>54675000</v>
      </c>
      <c r="V11" s="20">
        <f t="shared" si="1"/>
        <v>43740000</v>
      </c>
      <c r="W11" s="20">
        <f t="shared" si="1"/>
        <v>32805000</v>
      </c>
      <c r="X11" s="20">
        <f t="shared" si="1"/>
        <v>21870000</v>
      </c>
      <c r="Y11" s="20">
        <f t="shared" si="1"/>
        <v>10935000</v>
      </c>
      <c r="Z11" s="20"/>
      <c r="AA11" s="20"/>
      <c r="AB11" s="20"/>
      <c r="AC11" s="20"/>
      <c r="AD11" s="20"/>
    </row>
    <row r="12" spans="1:35" s="16" customFormat="1" x14ac:dyDescent="0.25">
      <c r="A12" s="19" t="s">
        <v>0</v>
      </c>
      <c r="B12" s="15" t="str">
        <f t="shared" si="0"/>
        <v>kr.</v>
      </c>
      <c r="C12" s="34"/>
      <c r="D12" s="34"/>
      <c r="F12" s="20">
        <f>F11*$D$10</f>
        <v>7195230</v>
      </c>
      <c r="G12" s="20">
        <f>G11*$D$10</f>
        <v>6835468.5</v>
      </c>
      <c r="H12" s="20">
        <f t="shared" ref="H12:Y12" si="2">H11*$D$10</f>
        <v>6475707</v>
      </c>
      <c r="I12" s="20">
        <f t="shared" si="2"/>
        <v>6115945.5</v>
      </c>
      <c r="J12" s="20">
        <f t="shared" si="2"/>
        <v>5756184</v>
      </c>
      <c r="K12" s="20">
        <f t="shared" si="2"/>
        <v>5396422.5</v>
      </c>
      <c r="L12" s="20">
        <f t="shared" si="2"/>
        <v>5036661</v>
      </c>
      <c r="M12" s="20">
        <f t="shared" si="2"/>
        <v>4676899.5</v>
      </c>
      <c r="N12" s="20">
        <f t="shared" si="2"/>
        <v>4317138</v>
      </c>
      <c r="O12" s="20">
        <f t="shared" si="2"/>
        <v>3957376.5</v>
      </c>
      <c r="P12" s="20">
        <f t="shared" si="2"/>
        <v>3597615</v>
      </c>
      <c r="Q12" s="20">
        <f t="shared" si="2"/>
        <v>3237853.5</v>
      </c>
      <c r="R12" s="20">
        <f t="shared" si="2"/>
        <v>2878092</v>
      </c>
      <c r="S12" s="20">
        <f t="shared" si="2"/>
        <v>2518330.5</v>
      </c>
      <c r="T12" s="20">
        <f t="shared" si="2"/>
        <v>2158569</v>
      </c>
      <c r="U12" s="20">
        <f t="shared" si="2"/>
        <v>1798807.5</v>
      </c>
      <c r="V12" s="20">
        <f t="shared" si="2"/>
        <v>1439046</v>
      </c>
      <c r="W12" s="20">
        <f t="shared" si="2"/>
        <v>1079284.5</v>
      </c>
      <c r="X12" s="20">
        <f t="shared" si="2"/>
        <v>719523</v>
      </c>
      <c r="Y12" s="20">
        <f t="shared" si="2"/>
        <v>359761.5</v>
      </c>
      <c r="Z12" s="20"/>
      <c r="AA12" s="20"/>
      <c r="AB12" s="20"/>
      <c r="AC12" s="20"/>
      <c r="AD12" s="20"/>
    </row>
    <row r="13" spans="1:35" s="16" customFormat="1" x14ac:dyDescent="0.25">
      <c r="A13" s="19" t="s">
        <v>49</v>
      </c>
      <c r="B13" s="15" t="str">
        <f t="shared" si="0"/>
        <v>kr.</v>
      </c>
      <c r="C13" s="34"/>
      <c r="D13" s="34"/>
      <c r="F13" s="20">
        <f>$F$6/$C$10</f>
        <v>10935000</v>
      </c>
      <c r="G13" s="20">
        <f>$F$6/$C$10</f>
        <v>10935000</v>
      </c>
      <c r="H13" s="20">
        <f t="shared" ref="H13:Y13" si="3">$F$6/$C$10</f>
        <v>10935000</v>
      </c>
      <c r="I13" s="20">
        <f t="shared" si="3"/>
        <v>10935000</v>
      </c>
      <c r="J13" s="20">
        <f t="shared" si="3"/>
        <v>10935000</v>
      </c>
      <c r="K13" s="20">
        <f t="shared" si="3"/>
        <v>10935000</v>
      </c>
      <c r="L13" s="20">
        <f t="shared" si="3"/>
        <v>10935000</v>
      </c>
      <c r="M13" s="20">
        <f t="shared" si="3"/>
        <v>10935000</v>
      </c>
      <c r="N13" s="20">
        <f t="shared" si="3"/>
        <v>10935000</v>
      </c>
      <c r="O13" s="20">
        <f t="shared" si="3"/>
        <v>10935000</v>
      </c>
      <c r="P13" s="20">
        <f t="shared" si="3"/>
        <v>10935000</v>
      </c>
      <c r="Q13" s="20">
        <f t="shared" si="3"/>
        <v>10935000</v>
      </c>
      <c r="R13" s="20">
        <f t="shared" si="3"/>
        <v>10935000</v>
      </c>
      <c r="S13" s="20">
        <f t="shared" si="3"/>
        <v>10935000</v>
      </c>
      <c r="T13" s="20">
        <f t="shared" si="3"/>
        <v>10935000</v>
      </c>
      <c r="U13" s="20">
        <f t="shared" si="3"/>
        <v>10935000</v>
      </c>
      <c r="V13" s="20">
        <f t="shared" si="3"/>
        <v>10935000</v>
      </c>
      <c r="W13" s="20">
        <f t="shared" si="3"/>
        <v>10935000</v>
      </c>
      <c r="X13" s="20">
        <f t="shared" si="3"/>
        <v>10935000</v>
      </c>
      <c r="Y13" s="20">
        <f t="shared" si="3"/>
        <v>10935000</v>
      </c>
      <c r="Z13" s="20"/>
      <c r="AA13" s="20"/>
      <c r="AB13" s="20"/>
      <c r="AC13" s="20"/>
      <c r="AD13" s="20"/>
    </row>
    <row r="14" spans="1:35" s="16" customFormat="1" x14ac:dyDescent="0.25">
      <c r="A14" s="19" t="s">
        <v>46</v>
      </c>
      <c r="B14" s="15" t="str">
        <f t="shared" si="0"/>
        <v>kr.</v>
      </c>
      <c r="C14" s="34"/>
      <c r="D14" s="34"/>
      <c r="F14" s="20">
        <f>F11-F13</f>
        <v>207765000</v>
      </c>
      <c r="G14" s="20">
        <f>G11-G13</f>
        <v>196830000</v>
      </c>
      <c r="H14" s="20">
        <f t="shared" ref="H14:Y14" si="4">H11-H13</f>
        <v>185895000</v>
      </c>
      <c r="I14" s="20">
        <f t="shared" si="4"/>
        <v>174960000</v>
      </c>
      <c r="J14" s="20">
        <f t="shared" si="4"/>
        <v>164025000</v>
      </c>
      <c r="K14" s="20">
        <f t="shared" si="4"/>
        <v>153090000</v>
      </c>
      <c r="L14" s="20">
        <f t="shared" si="4"/>
        <v>142155000</v>
      </c>
      <c r="M14" s="20">
        <f t="shared" si="4"/>
        <v>131220000</v>
      </c>
      <c r="N14" s="20">
        <f t="shared" si="4"/>
        <v>120285000</v>
      </c>
      <c r="O14" s="20">
        <f t="shared" si="4"/>
        <v>109350000</v>
      </c>
      <c r="P14" s="20">
        <f t="shared" si="4"/>
        <v>98415000</v>
      </c>
      <c r="Q14" s="20">
        <f t="shared" si="4"/>
        <v>87480000</v>
      </c>
      <c r="R14" s="20">
        <f t="shared" si="4"/>
        <v>76545000</v>
      </c>
      <c r="S14" s="20">
        <f t="shared" si="4"/>
        <v>65610000</v>
      </c>
      <c r="T14" s="20">
        <f t="shared" si="4"/>
        <v>54675000</v>
      </c>
      <c r="U14" s="20">
        <f t="shared" si="4"/>
        <v>43740000</v>
      </c>
      <c r="V14" s="20">
        <f t="shared" si="4"/>
        <v>32805000</v>
      </c>
      <c r="W14" s="20">
        <f t="shared" si="4"/>
        <v>21870000</v>
      </c>
      <c r="X14" s="20">
        <f t="shared" si="4"/>
        <v>10935000</v>
      </c>
      <c r="Y14" s="20">
        <f t="shared" si="4"/>
        <v>0</v>
      </c>
      <c r="Z14" s="20"/>
      <c r="AA14" s="20"/>
      <c r="AB14" s="20"/>
      <c r="AC14" s="20"/>
      <c r="AD14" s="20"/>
    </row>
    <row r="15" spans="1:35" s="16" customFormat="1" x14ac:dyDescent="0.25">
      <c r="C15" s="34"/>
      <c r="D15" s="34"/>
    </row>
    <row r="16" spans="1:35" s="16" customFormat="1" x14ac:dyDescent="0.25">
      <c r="A16" s="24" t="s">
        <v>53</v>
      </c>
      <c r="C16" s="33">
        <v>30</v>
      </c>
      <c r="D16" s="27">
        <f>D10</f>
        <v>3.2899999999999999E-2</v>
      </c>
      <c r="E16" s="18" t="s">
        <v>44</v>
      </c>
    </row>
    <row r="17" spans="1:35" s="16" customFormat="1" x14ac:dyDescent="0.25">
      <c r="A17" s="19" t="s">
        <v>45</v>
      </c>
      <c r="B17" s="15" t="str">
        <f>$B$5</f>
        <v>kr.</v>
      </c>
      <c r="F17" s="20">
        <f>F7</f>
        <v>131771000</v>
      </c>
      <c r="G17" s="20">
        <f t="shared" ref="G17:AD17" si="5">F20+G7</f>
        <v>127378633.33333333</v>
      </c>
      <c r="H17" s="20">
        <f t="shared" si="5"/>
        <v>122986266.66666666</v>
      </c>
      <c r="I17" s="20">
        <f t="shared" si="5"/>
        <v>118593899.99999999</v>
      </c>
      <c r="J17" s="20">
        <f t="shared" si="5"/>
        <v>114201533.33333331</v>
      </c>
      <c r="K17" s="20">
        <f t="shared" si="5"/>
        <v>109809166.66666664</v>
      </c>
      <c r="L17" s="20">
        <f t="shared" si="5"/>
        <v>105416799.99999997</v>
      </c>
      <c r="M17" s="20">
        <f t="shared" si="5"/>
        <v>101024433.3333333</v>
      </c>
      <c r="N17" s="20">
        <f t="shared" si="5"/>
        <v>96632066.666666627</v>
      </c>
      <c r="O17" s="20">
        <f t="shared" si="5"/>
        <v>92239699.999999955</v>
      </c>
      <c r="P17" s="20">
        <f t="shared" si="5"/>
        <v>87847333.333333284</v>
      </c>
      <c r="Q17" s="20">
        <f t="shared" si="5"/>
        <v>83454966.666666612</v>
      </c>
      <c r="R17" s="20">
        <f t="shared" si="5"/>
        <v>79062599.99999994</v>
      </c>
      <c r="S17" s="20">
        <f t="shared" si="5"/>
        <v>74670233.333333269</v>
      </c>
      <c r="T17" s="20">
        <f t="shared" si="5"/>
        <v>70277866.666666597</v>
      </c>
      <c r="U17" s="20">
        <f t="shared" si="5"/>
        <v>65885499.999999933</v>
      </c>
      <c r="V17" s="20">
        <f t="shared" si="5"/>
        <v>61493133.333333269</v>
      </c>
      <c r="W17" s="20">
        <f t="shared" si="5"/>
        <v>57100766.666666605</v>
      </c>
      <c r="X17" s="20">
        <f t="shared" si="5"/>
        <v>52708399.99999994</v>
      </c>
      <c r="Y17" s="20">
        <f t="shared" si="5"/>
        <v>48316033.333333276</v>
      </c>
      <c r="Z17" s="20">
        <f t="shared" si="5"/>
        <v>43923666.666666612</v>
      </c>
      <c r="AA17" s="20">
        <f t="shared" si="5"/>
        <v>39531299.999999948</v>
      </c>
      <c r="AB17" s="20">
        <f t="shared" si="5"/>
        <v>35138933.333333284</v>
      </c>
      <c r="AC17" s="20">
        <f t="shared" si="5"/>
        <v>30746566.666666616</v>
      </c>
      <c r="AD17" s="20">
        <f t="shared" si="5"/>
        <v>26354199.999999948</v>
      </c>
      <c r="AE17" s="20">
        <f t="shared" ref="AE17:AI17" si="6">AD20+AE7</f>
        <v>21961833.33333328</v>
      </c>
      <c r="AF17" s="20">
        <f t="shared" si="6"/>
        <v>17569466.666666612</v>
      </c>
      <c r="AG17" s="20">
        <f t="shared" si="6"/>
        <v>13177099.999999944</v>
      </c>
      <c r="AH17" s="20">
        <f t="shared" si="6"/>
        <v>8784733.3333332762</v>
      </c>
      <c r="AI17" s="20">
        <f t="shared" si="6"/>
        <v>4392366.6666666092</v>
      </c>
    </row>
    <row r="18" spans="1:35" s="16" customFormat="1" x14ac:dyDescent="0.25">
      <c r="A18" s="19" t="s">
        <v>0</v>
      </c>
      <c r="B18" s="15" t="str">
        <f>$B$5</f>
        <v>kr.</v>
      </c>
      <c r="F18" s="20">
        <f t="shared" ref="F18:AD18" si="7">F17*$D$16</f>
        <v>4335265.8999999994</v>
      </c>
      <c r="G18" s="20">
        <f t="shared" si="7"/>
        <v>4190757.0366666662</v>
      </c>
      <c r="H18" s="20">
        <f t="shared" si="7"/>
        <v>4046248.1733333329</v>
      </c>
      <c r="I18" s="20">
        <f t="shared" si="7"/>
        <v>3901739.3099999991</v>
      </c>
      <c r="J18" s="20">
        <f t="shared" si="7"/>
        <v>3757230.4466666658</v>
      </c>
      <c r="K18" s="20">
        <f t="shared" si="7"/>
        <v>3612721.5833333326</v>
      </c>
      <c r="L18" s="20">
        <f t="shared" si="7"/>
        <v>3468212.7199999988</v>
      </c>
      <c r="M18" s="20">
        <f t="shared" si="7"/>
        <v>3323703.8566666655</v>
      </c>
      <c r="N18" s="20">
        <f t="shared" si="7"/>
        <v>3179194.9933333318</v>
      </c>
      <c r="O18" s="20">
        <f t="shared" si="7"/>
        <v>3034686.1299999985</v>
      </c>
      <c r="P18" s="20">
        <f t="shared" si="7"/>
        <v>2890177.2666666647</v>
      </c>
      <c r="Q18" s="20">
        <f t="shared" si="7"/>
        <v>2745668.4033333315</v>
      </c>
      <c r="R18" s="20">
        <f t="shared" si="7"/>
        <v>2601159.5399999977</v>
      </c>
      <c r="S18" s="20">
        <f t="shared" si="7"/>
        <v>2456650.6766666644</v>
      </c>
      <c r="T18" s="20">
        <f t="shared" si="7"/>
        <v>2312141.8133333311</v>
      </c>
      <c r="U18" s="20">
        <f t="shared" si="7"/>
        <v>2167632.9499999979</v>
      </c>
      <c r="V18" s="20">
        <f t="shared" si="7"/>
        <v>2023124.0866666646</v>
      </c>
      <c r="W18" s="20">
        <f t="shared" si="7"/>
        <v>1878615.2233333313</v>
      </c>
      <c r="X18" s="20">
        <f t="shared" si="7"/>
        <v>1734106.359999998</v>
      </c>
      <c r="Y18" s="20">
        <f t="shared" si="7"/>
        <v>1589597.4966666647</v>
      </c>
      <c r="Z18" s="20">
        <f t="shared" si="7"/>
        <v>1445088.6333333314</v>
      </c>
      <c r="AA18" s="20">
        <f t="shared" si="7"/>
        <v>1300579.7699999982</v>
      </c>
      <c r="AB18" s="20">
        <f t="shared" si="7"/>
        <v>1156070.9066666649</v>
      </c>
      <c r="AC18" s="20">
        <f t="shared" si="7"/>
        <v>1011562.0433333316</v>
      </c>
      <c r="AD18" s="20">
        <f t="shared" si="7"/>
        <v>867053.1799999983</v>
      </c>
      <c r="AE18" s="20">
        <f t="shared" ref="AE18:AI18" si="8">AE17*$D$16</f>
        <v>722544.3166666649</v>
      </c>
      <c r="AF18" s="20">
        <f t="shared" si="8"/>
        <v>578035.4533333315</v>
      </c>
      <c r="AG18" s="20">
        <f t="shared" si="8"/>
        <v>433526.58999999816</v>
      </c>
      <c r="AH18" s="20">
        <f t="shared" si="8"/>
        <v>289017.72666666476</v>
      </c>
      <c r="AI18" s="20">
        <f t="shared" si="8"/>
        <v>144508.86333333145</v>
      </c>
    </row>
    <row r="19" spans="1:35" s="16" customFormat="1" x14ac:dyDescent="0.25">
      <c r="A19" s="19" t="s">
        <v>49</v>
      </c>
      <c r="B19" s="15" t="str">
        <f>$B$5</f>
        <v>kr.</v>
      </c>
      <c r="F19" s="20">
        <f>$F$7/$C$16</f>
        <v>4392366.666666667</v>
      </c>
      <c r="G19" s="20">
        <f t="shared" ref="G19:AD19" si="9">$F$7/$C$16</f>
        <v>4392366.666666667</v>
      </c>
      <c r="H19" s="20">
        <f>$F$7/$C$16</f>
        <v>4392366.666666667</v>
      </c>
      <c r="I19" s="20">
        <f t="shared" si="9"/>
        <v>4392366.666666667</v>
      </c>
      <c r="J19" s="20">
        <f t="shared" si="9"/>
        <v>4392366.666666667</v>
      </c>
      <c r="K19" s="20">
        <f t="shared" si="9"/>
        <v>4392366.666666667</v>
      </c>
      <c r="L19" s="20">
        <f t="shared" si="9"/>
        <v>4392366.666666667</v>
      </c>
      <c r="M19" s="20">
        <f t="shared" si="9"/>
        <v>4392366.666666667</v>
      </c>
      <c r="N19" s="20">
        <f t="shared" si="9"/>
        <v>4392366.666666667</v>
      </c>
      <c r="O19" s="20">
        <f t="shared" si="9"/>
        <v>4392366.666666667</v>
      </c>
      <c r="P19" s="20">
        <f t="shared" si="9"/>
        <v>4392366.666666667</v>
      </c>
      <c r="Q19" s="20">
        <f t="shared" si="9"/>
        <v>4392366.666666667</v>
      </c>
      <c r="R19" s="20">
        <f t="shared" si="9"/>
        <v>4392366.666666667</v>
      </c>
      <c r="S19" s="20">
        <f t="shared" si="9"/>
        <v>4392366.666666667</v>
      </c>
      <c r="T19" s="20">
        <f t="shared" si="9"/>
        <v>4392366.666666667</v>
      </c>
      <c r="U19" s="20">
        <f t="shared" si="9"/>
        <v>4392366.666666667</v>
      </c>
      <c r="V19" s="20">
        <f t="shared" si="9"/>
        <v>4392366.666666667</v>
      </c>
      <c r="W19" s="20">
        <f t="shared" si="9"/>
        <v>4392366.666666667</v>
      </c>
      <c r="X19" s="20">
        <f t="shared" si="9"/>
        <v>4392366.666666667</v>
      </c>
      <c r="Y19" s="20">
        <f t="shared" si="9"/>
        <v>4392366.666666667</v>
      </c>
      <c r="Z19" s="20">
        <f t="shared" si="9"/>
        <v>4392366.666666667</v>
      </c>
      <c r="AA19" s="20">
        <f t="shared" si="9"/>
        <v>4392366.666666667</v>
      </c>
      <c r="AB19" s="20">
        <f t="shared" si="9"/>
        <v>4392366.666666667</v>
      </c>
      <c r="AC19" s="20">
        <f t="shared" si="9"/>
        <v>4392366.666666667</v>
      </c>
      <c r="AD19" s="20">
        <f t="shared" si="9"/>
        <v>4392366.666666667</v>
      </c>
      <c r="AE19" s="20">
        <f t="shared" ref="AE19:AI19" si="10">$F$7/$C$16</f>
        <v>4392366.666666667</v>
      </c>
      <c r="AF19" s="20">
        <f t="shared" si="10"/>
        <v>4392366.666666667</v>
      </c>
      <c r="AG19" s="20">
        <f t="shared" si="10"/>
        <v>4392366.666666667</v>
      </c>
      <c r="AH19" s="20">
        <f t="shared" si="10"/>
        <v>4392366.666666667</v>
      </c>
      <c r="AI19" s="20">
        <f t="shared" si="10"/>
        <v>4392366.666666667</v>
      </c>
    </row>
    <row r="20" spans="1:35" s="16" customFormat="1" x14ac:dyDescent="0.25">
      <c r="A20" s="19" t="s">
        <v>46</v>
      </c>
      <c r="B20" s="15" t="str">
        <f>$B$5</f>
        <v>kr.</v>
      </c>
      <c r="F20" s="20">
        <f>F17-F19</f>
        <v>127378633.33333333</v>
      </c>
      <c r="G20" s="20">
        <f t="shared" ref="G20:AD20" si="11">G17-G19</f>
        <v>122986266.66666666</v>
      </c>
      <c r="H20" s="20">
        <f t="shared" si="11"/>
        <v>118593899.99999999</v>
      </c>
      <c r="I20" s="20">
        <f t="shared" si="11"/>
        <v>114201533.33333331</v>
      </c>
      <c r="J20" s="20">
        <f t="shared" si="11"/>
        <v>109809166.66666664</v>
      </c>
      <c r="K20" s="20">
        <f t="shared" si="11"/>
        <v>105416799.99999997</v>
      </c>
      <c r="L20" s="20">
        <f t="shared" si="11"/>
        <v>101024433.3333333</v>
      </c>
      <c r="M20" s="20">
        <f t="shared" si="11"/>
        <v>96632066.666666627</v>
      </c>
      <c r="N20" s="20">
        <f t="shared" si="11"/>
        <v>92239699.999999955</v>
      </c>
      <c r="O20" s="20">
        <f t="shared" si="11"/>
        <v>87847333.333333284</v>
      </c>
      <c r="P20" s="20">
        <f t="shared" si="11"/>
        <v>83454966.666666612</v>
      </c>
      <c r="Q20" s="20">
        <f t="shared" si="11"/>
        <v>79062599.99999994</v>
      </c>
      <c r="R20" s="20">
        <f t="shared" si="11"/>
        <v>74670233.333333269</v>
      </c>
      <c r="S20" s="20">
        <f t="shared" si="11"/>
        <v>70277866.666666597</v>
      </c>
      <c r="T20" s="20">
        <f t="shared" si="11"/>
        <v>65885499.999999933</v>
      </c>
      <c r="U20" s="20">
        <f t="shared" si="11"/>
        <v>61493133.333333269</v>
      </c>
      <c r="V20" s="20">
        <f t="shared" si="11"/>
        <v>57100766.666666605</v>
      </c>
      <c r="W20" s="20">
        <f t="shared" si="11"/>
        <v>52708399.99999994</v>
      </c>
      <c r="X20" s="20">
        <f t="shared" si="11"/>
        <v>48316033.333333276</v>
      </c>
      <c r="Y20" s="20">
        <f t="shared" si="11"/>
        <v>43923666.666666612</v>
      </c>
      <c r="Z20" s="20">
        <f t="shared" si="11"/>
        <v>39531299.999999948</v>
      </c>
      <c r="AA20" s="20">
        <f t="shared" si="11"/>
        <v>35138933.333333284</v>
      </c>
      <c r="AB20" s="20">
        <f t="shared" si="11"/>
        <v>30746566.666666616</v>
      </c>
      <c r="AC20" s="20">
        <f t="shared" si="11"/>
        <v>26354199.999999948</v>
      </c>
      <c r="AD20" s="20">
        <f t="shared" si="11"/>
        <v>21961833.33333328</v>
      </c>
      <c r="AE20" s="20">
        <f t="shared" ref="AE20" si="12">AE17-AE19</f>
        <v>17569466.666666612</v>
      </c>
      <c r="AF20" s="20">
        <f t="shared" ref="AF20" si="13">AF17-AF19</f>
        <v>13177099.999999944</v>
      </c>
      <c r="AG20" s="20">
        <f t="shared" ref="AG20" si="14">AG17-AG19</f>
        <v>8784733.3333332762</v>
      </c>
      <c r="AH20" s="20">
        <f t="shared" ref="AH20" si="15">AH17-AH19</f>
        <v>4392366.6666666092</v>
      </c>
      <c r="AI20" s="20">
        <f t="shared" ref="AI20" si="16">AI17-AI19</f>
        <v>-5.7741999626159668E-8</v>
      </c>
    </row>
    <row r="21" spans="1:35" x14ac:dyDescent="0.25">
      <c r="B21" s="9"/>
      <c r="C21" s="9"/>
      <c r="D21" s="9"/>
      <c r="E21" s="9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35" x14ac:dyDescent="0.25">
      <c r="A22" s="24" t="s">
        <v>47</v>
      </c>
      <c r="B22" s="15" t="str">
        <f>$B$5</f>
        <v>kr.</v>
      </c>
      <c r="C22" s="9"/>
      <c r="D22" s="9"/>
      <c r="E22" s="9"/>
      <c r="F22" s="5">
        <f>F12+F13+F18+F19</f>
        <v>26857862.566666666</v>
      </c>
      <c r="G22" s="5">
        <f>G12+G13+G18+G19</f>
        <v>26353592.203333333</v>
      </c>
      <c r="H22" s="5">
        <f t="shared" ref="H22:Y22" si="17">H12+H13+H18+H19</f>
        <v>25849321.84</v>
      </c>
      <c r="I22" s="5">
        <f t="shared" si="17"/>
        <v>25345051.476666667</v>
      </c>
      <c r="J22" s="5">
        <f t="shared" si="17"/>
        <v>24840781.113333333</v>
      </c>
      <c r="K22" s="5">
        <f t="shared" si="17"/>
        <v>24336510.75</v>
      </c>
      <c r="L22" s="5">
        <f t="shared" si="17"/>
        <v>23832240.386666667</v>
      </c>
      <c r="M22" s="5">
        <f t="shared" si="17"/>
        <v>23327970.023333333</v>
      </c>
      <c r="N22" s="5">
        <f t="shared" si="17"/>
        <v>22823699.66</v>
      </c>
      <c r="O22" s="5">
        <f t="shared" si="17"/>
        <v>22319429.296666667</v>
      </c>
      <c r="P22" s="5">
        <f t="shared" si="17"/>
        <v>21815158.933333334</v>
      </c>
      <c r="Q22" s="5">
        <f t="shared" si="17"/>
        <v>21310888.57</v>
      </c>
      <c r="R22" s="5">
        <f t="shared" si="17"/>
        <v>20806618.206666663</v>
      </c>
      <c r="S22" s="5">
        <f t="shared" si="17"/>
        <v>20302347.84333333</v>
      </c>
      <c r="T22" s="5">
        <f t="shared" si="17"/>
        <v>19798077.479999997</v>
      </c>
      <c r="U22" s="5">
        <f t="shared" si="17"/>
        <v>19293807.116666663</v>
      </c>
      <c r="V22" s="5">
        <f t="shared" si="17"/>
        <v>18789536.75333333</v>
      </c>
      <c r="W22" s="5">
        <f t="shared" si="17"/>
        <v>18285266.389999997</v>
      </c>
      <c r="X22" s="5">
        <f t="shared" si="17"/>
        <v>17780996.026666664</v>
      </c>
      <c r="Y22" s="5">
        <f t="shared" si="17"/>
        <v>17276725.66333333</v>
      </c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s="16" customFormat="1" x14ac:dyDescent="0.25">
      <c r="A23" s="24" t="s">
        <v>48</v>
      </c>
      <c r="D23" s="35">
        <v>0.02</v>
      </c>
      <c r="F23" s="21">
        <v>1</v>
      </c>
      <c r="G23" s="21">
        <f>F23/(1+$D$23)</f>
        <v>0.98039215686274506</v>
      </c>
      <c r="H23" s="21">
        <f t="shared" ref="H23:Y23" si="18">G23/(1+$D$23)</f>
        <v>0.96116878123798533</v>
      </c>
      <c r="I23" s="21">
        <f t="shared" si="18"/>
        <v>0.94232233454704439</v>
      </c>
      <c r="J23" s="21">
        <f t="shared" si="18"/>
        <v>0.92384542602651409</v>
      </c>
      <c r="K23" s="21">
        <f t="shared" si="18"/>
        <v>0.90573080982991572</v>
      </c>
      <c r="L23" s="21">
        <f t="shared" si="18"/>
        <v>0.88797138218619187</v>
      </c>
      <c r="M23" s="21">
        <f t="shared" si="18"/>
        <v>0.87056017861391355</v>
      </c>
      <c r="N23" s="21">
        <f t="shared" si="18"/>
        <v>0.85349037119011129</v>
      </c>
      <c r="O23" s="21">
        <f t="shared" si="18"/>
        <v>0.83675526587265814</v>
      </c>
      <c r="P23" s="21">
        <f t="shared" si="18"/>
        <v>0.82034829987515501</v>
      </c>
      <c r="Q23" s="21">
        <f t="shared" si="18"/>
        <v>0.80426303909328922</v>
      </c>
      <c r="R23" s="21">
        <f t="shared" si="18"/>
        <v>0.7884931755816561</v>
      </c>
      <c r="S23" s="21">
        <f t="shared" si="18"/>
        <v>0.77303252508005504</v>
      </c>
      <c r="T23" s="21">
        <f t="shared" si="18"/>
        <v>0.75787502458828926</v>
      </c>
      <c r="U23" s="21">
        <f t="shared" si="18"/>
        <v>0.74301472998851892</v>
      </c>
      <c r="V23" s="21">
        <f t="shared" si="18"/>
        <v>0.72844581371423422</v>
      </c>
      <c r="W23" s="21">
        <f t="shared" si="18"/>
        <v>0.71416256246493548</v>
      </c>
      <c r="X23" s="21">
        <f t="shared" si="18"/>
        <v>0.70015937496562297</v>
      </c>
      <c r="Y23" s="21">
        <f t="shared" si="18"/>
        <v>0.68643075977021861</v>
      </c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5" x14ac:dyDescent="0.25">
      <c r="A24" s="24" t="s">
        <v>59</v>
      </c>
      <c r="B24" s="9" t="s">
        <v>23</v>
      </c>
      <c r="C24" s="10"/>
      <c r="D24" s="10"/>
      <c r="E24" s="10"/>
      <c r="F24" s="5">
        <f>F22*F23</f>
        <v>26857862.566666666</v>
      </c>
      <c r="G24" s="5">
        <f>G22*G23</f>
        <v>25836855.101307187</v>
      </c>
      <c r="H24" s="5">
        <f t="shared" ref="H24:Y24" si="19">H22*H23</f>
        <v>24845561.168781236</v>
      </c>
      <c r="I24" s="5">
        <f t="shared" si="19"/>
        <v>23883208.076707549</v>
      </c>
      <c r="J24" s="5">
        <f t="shared" si="19"/>
        <v>22949042.010478817</v>
      </c>
      <c r="K24" s="5">
        <f t="shared" si="19"/>
        <v>22042327.590031948</v>
      </c>
      <c r="L24" s="5">
        <f t="shared" si="19"/>
        <v>21162347.436741985</v>
      </c>
      <c r="M24" s="5">
        <f t="shared" si="19"/>
        <v>20308401.750213087</v>
      </c>
      <c r="N24" s="5">
        <f t="shared" si="19"/>
        <v>19479807.894745018</v>
      </c>
      <c r="O24" s="5">
        <f t="shared" si="19"/>
        <v>18675899.995258313</v>
      </c>
      <c r="P24" s="5">
        <f t="shared" si="19"/>
        <v>17896028.542466301</v>
      </c>
      <c r="Q24" s="5">
        <f t="shared" si="19"/>
        <v>17139560.007086642</v>
      </c>
      <c r="R24" s="5">
        <f t="shared" si="19"/>
        <v>16405876.462889699</v>
      </c>
      <c r="S24" s="5">
        <f t="shared" si="19"/>
        <v>15694375.218385573</v>
      </c>
      <c r="T24" s="5">
        <f t="shared" si="19"/>
        <v>15004468.456955854</v>
      </c>
      <c r="U24" s="5">
        <f t="shared" si="19"/>
        <v>14335582.885240646</v>
      </c>
      <c r="V24" s="5">
        <f t="shared" si="19"/>
        <v>13687159.389595408</v>
      </c>
      <c r="W24" s="5">
        <f t="shared" si="19"/>
        <v>13058652.700436357</v>
      </c>
      <c r="X24" s="5">
        <f t="shared" si="19"/>
        <v>12449531.064297156</v>
      </c>
      <c r="Y24" s="5">
        <f t="shared" si="19"/>
        <v>11859275.923423532</v>
      </c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 x14ac:dyDescent="0.25">
      <c r="B25" s="9"/>
      <c r="C25" s="9"/>
      <c r="D25" s="9"/>
      <c r="E25" s="9"/>
    </row>
    <row r="26" spans="1:35" x14ac:dyDescent="0.25">
      <c r="A26" s="8" t="s">
        <v>25</v>
      </c>
      <c r="B26" s="7"/>
      <c r="C26" s="7"/>
      <c r="D26" s="7"/>
      <c r="E26" s="7"/>
      <c r="F26" s="7">
        <v>2028</v>
      </c>
      <c r="G26" s="7">
        <v>2029</v>
      </c>
      <c r="H26" s="7">
        <v>2030</v>
      </c>
      <c r="I26" s="7">
        <v>2031</v>
      </c>
      <c r="J26" s="7">
        <v>2032</v>
      </c>
      <c r="K26" s="7">
        <v>2033</v>
      </c>
      <c r="L26" s="7">
        <v>2034</v>
      </c>
      <c r="M26" s="7">
        <v>2035</v>
      </c>
      <c r="N26" s="7">
        <v>2036</v>
      </c>
      <c r="O26" s="7">
        <v>2037</v>
      </c>
      <c r="P26" s="7">
        <v>2038</v>
      </c>
      <c r="Q26" s="7">
        <v>2039</v>
      </c>
      <c r="R26" s="7">
        <v>2040</v>
      </c>
      <c r="S26" s="7">
        <v>2041</v>
      </c>
      <c r="T26" s="7">
        <v>2042</v>
      </c>
      <c r="U26" s="7">
        <v>2043</v>
      </c>
      <c r="V26" s="7">
        <v>2044</v>
      </c>
      <c r="W26" s="7">
        <v>2045</v>
      </c>
      <c r="X26" s="7">
        <v>2046</v>
      </c>
      <c r="Y26" s="7">
        <v>2047</v>
      </c>
    </row>
    <row r="27" spans="1:35" x14ac:dyDescent="0.25">
      <c r="A27" t="s">
        <v>60</v>
      </c>
      <c r="B27" s="9" t="s">
        <v>23</v>
      </c>
      <c r="C27" s="10"/>
      <c r="D27" s="10"/>
      <c r="E27" s="10"/>
      <c r="F27" s="5">
        <v>26506126</v>
      </c>
      <c r="G27" s="5">
        <v>26506126</v>
      </c>
      <c r="H27" s="5">
        <v>26506126</v>
      </c>
      <c r="I27" s="5">
        <v>26506126</v>
      </c>
      <c r="J27" s="5">
        <v>26106871</v>
      </c>
      <c r="K27" s="5">
        <v>26106871</v>
      </c>
      <c r="L27" s="5">
        <v>26106871</v>
      </c>
      <c r="M27" s="5">
        <v>19811482</v>
      </c>
      <c r="N27" s="5">
        <v>19811482</v>
      </c>
      <c r="O27" s="5">
        <v>19811482</v>
      </c>
      <c r="P27" s="5">
        <v>19811482</v>
      </c>
      <c r="Q27" s="5">
        <v>19811482</v>
      </c>
      <c r="R27" s="5">
        <v>19811482</v>
      </c>
      <c r="S27" s="5">
        <v>19811482</v>
      </c>
      <c r="T27" s="5">
        <v>19811482</v>
      </c>
      <c r="U27" s="5">
        <v>19811482</v>
      </c>
      <c r="V27" s="5">
        <v>19811482</v>
      </c>
      <c r="W27" s="5">
        <v>19811482</v>
      </c>
      <c r="X27" s="5">
        <v>19811482</v>
      </c>
      <c r="Y27" s="5">
        <v>19811482</v>
      </c>
    </row>
    <row r="28" spans="1:35" x14ac:dyDescent="0.25">
      <c r="A28" t="s">
        <v>65</v>
      </c>
      <c r="B28" s="9"/>
      <c r="C28" s="10"/>
      <c r="D28" s="10"/>
      <c r="E28" s="10"/>
      <c r="F28" s="5">
        <f>F138</f>
        <v>0</v>
      </c>
      <c r="G28" s="5">
        <f t="shared" ref="G28:Y28" si="20">G138</f>
        <v>259522.8214285709</v>
      </c>
      <c r="H28" s="5">
        <f t="shared" si="20"/>
        <v>519045.64285714272</v>
      </c>
      <c r="I28" s="5">
        <f t="shared" si="20"/>
        <v>778568.46428571362</v>
      </c>
      <c r="J28" s="5">
        <f t="shared" si="20"/>
        <v>1194717.1428571427</v>
      </c>
      <c r="K28" s="5">
        <f t="shared" si="20"/>
        <v>1493396.4285714282</v>
      </c>
      <c r="L28" s="5">
        <f t="shared" si="20"/>
        <v>1792075.7142857136</v>
      </c>
      <c r="M28" s="5">
        <f t="shared" si="20"/>
        <v>2169758.75</v>
      </c>
      <c r="N28" s="5">
        <f t="shared" si="20"/>
        <v>2169758.75</v>
      </c>
      <c r="O28" s="5">
        <f t="shared" si="20"/>
        <v>2169758.75</v>
      </c>
      <c r="P28" s="5">
        <f t="shared" si="20"/>
        <v>2169758.75</v>
      </c>
      <c r="Q28" s="5">
        <f t="shared" si="20"/>
        <v>2169758.75</v>
      </c>
      <c r="R28" s="5">
        <f t="shared" si="20"/>
        <v>2169758.75</v>
      </c>
      <c r="S28" s="5">
        <f t="shared" si="20"/>
        <v>2169758.75</v>
      </c>
      <c r="T28" s="5">
        <f t="shared" si="20"/>
        <v>2169758.75</v>
      </c>
      <c r="U28" s="5">
        <f t="shared" si="20"/>
        <v>2169758.75</v>
      </c>
      <c r="V28" s="5">
        <f t="shared" si="20"/>
        <v>2169758.75</v>
      </c>
      <c r="W28" s="5">
        <f t="shared" si="20"/>
        <v>2169758.75</v>
      </c>
      <c r="X28" s="5">
        <f t="shared" si="20"/>
        <v>2169758.75</v>
      </c>
      <c r="Y28" s="5">
        <f t="shared" si="20"/>
        <v>2169758.75</v>
      </c>
    </row>
    <row r="29" spans="1:35" x14ac:dyDescent="0.25">
      <c r="A29" t="s">
        <v>26</v>
      </c>
      <c r="B29" s="9" t="s">
        <v>23</v>
      </c>
      <c r="C29" s="10"/>
      <c r="D29" s="10"/>
      <c r="E29" s="10"/>
      <c r="F29" s="5">
        <f>(F27+F28)*$D$92</f>
        <v>26506126</v>
      </c>
      <c r="G29" s="5">
        <f t="shared" ref="G29:Y29" si="21">(G27+G28)*$D$92</f>
        <v>26765648.821428571</v>
      </c>
      <c r="H29" s="5">
        <f t="shared" si="21"/>
        <v>27025171.642857142</v>
      </c>
      <c r="I29" s="5">
        <f t="shared" si="21"/>
        <v>27284694.464285713</v>
      </c>
      <c r="J29" s="5">
        <f t="shared" si="21"/>
        <v>27301588.142857142</v>
      </c>
      <c r="K29" s="5">
        <f t="shared" si="21"/>
        <v>27600267.428571429</v>
      </c>
      <c r="L29" s="5">
        <f t="shared" si="21"/>
        <v>27898946.714285713</v>
      </c>
      <c r="M29" s="5">
        <f t="shared" si="21"/>
        <v>21981240.75</v>
      </c>
      <c r="N29" s="5">
        <f t="shared" si="21"/>
        <v>21981240.75</v>
      </c>
      <c r="O29" s="5">
        <f t="shared" si="21"/>
        <v>21981240.75</v>
      </c>
      <c r="P29" s="5">
        <f t="shared" si="21"/>
        <v>21981240.75</v>
      </c>
      <c r="Q29" s="5">
        <f t="shared" si="21"/>
        <v>21981240.75</v>
      </c>
      <c r="R29" s="5">
        <f t="shared" si="21"/>
        <v>21981240.75</v>
      </c>
      <c r="S29" s="5">
        <f t="shared" si="21"/>
        <v>21981240.75</v>
      </c>
      <c r="T29" s="5">
        <f t="shared" si="21"/>
        <v>21981240.75</v>
      </c>
      <c r="U29" s="5">
        <f t="shared" si="21"/>
        <v>21981240.75</v>
      </c>
      <c r="V29" s="5">
        <f t="shared" si="21"/>
        <v>21981240.75</v>
      </c>
      <c r="W29" s="5">
        <f t="shared" si="21"/>
        <v>21981240.75</v>
      </c>
      <c r="X29" s="5">
        <f t="shared" si="21"/>
        <v>21981240.75</v>
      </c>
      <c r="Y29" s="5">
        <f t="shared" si="21"/>
        <v>21981240.75</v>
      </c>
    </row>
    <row r="30" spans="1:35" x14ac:dyDescent="0.25">
      <c r="B30" s="9"/>
      <c r="C30" s="10"/>
      <c r="D30" s="10"/>
      <c r="E30" s="10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35" x14ac:dyDescent="0.25">
      <c r="A31" s="8" t="s">
        <v>27</v>
      </c>
      <c r="B31" s="7"/>
      <c r="C31" s="7"/>
      <c r="D31" s="7"/>
      <c r="E31" s="7"/>
      <c r="F31" s="7">
        <v>2028</v>
      </c>
      <c r="G31" s="7">
        <v>2029</v>
      </c>
      <c r="H31" s="7">
        <v>2030</v>
      </c>
      <c r="I31" s="7">
        <v>2031</v>
      </c>
      <c r="J31" s="7">
        <v>2032</v>
      </c>
      <c r="K31" s="7">
        <v>2033</v>
      </c>
      <c r="L31" s="7">
        <v>2034</v>
      </c>
      <c r="M31" s="7">
        <v>2035</v>
      </c>
      <c r="N31" s="7">
        <v>2036</v>
      </c>
      <c r="O31" s="7">
        <v>2037</v>
      </c>
      <c r="P31" s="7">
        <v>2038</v>
      </c>
      <c r="Q31" s="7">
        <v>2039</v>
      </c>
      <c r="R31" s="7">
        <v>2040</v>
      </c>
      <c r="S31" s="7">
        <v>2041</v>
      </c>
      <c r="T31" s="7">
        <v>2042</v>
      </c>
      <c r="U31" s="7">
        <v>2043</v>
      </c>
      <c r="V31" s="7">
        <v>2044</v>
      </c>
      <c r="W31" s="7">
        <v>2045</v>
      </c>
      <c r="X31" s="7">
        <v>2046</v>
      </c>
      <c r="Y31" s="7">
        <v>2047</v>
      </c>
    </row>
    <row r="32" spans="1:35" x14ac:dyDescent="0.25">
      <c r="A32" t="s">
        <v>28</v>
      </c>
      <c r="B32" s="9" t="s">
        <v>23</v>
      </c>
      <c r="C32" s="10"/>
      <c r="D32" s="10"/>
      <c r="E32" s="10"/>
      <c r="F32" s="5">
        <v>11481853</v>
      </c>
      <c r="G32" s="5">
        <v>11481853</v>
      </c>
      <c r="H32" s="5">
        <v>11481853</v>
      </c>
      <c r="I32" s="5">
        <v>11481853</v>
      </c>
      <c r="J32" s="5">
        <v>11481853</v>
      </c>
      <c r="K32" s="5">
        <v>11481853</v>
      </c>
      <c r="L32" s="5">
        <v>11481853</v>
      </c>
      <c r="M32" s="36">
        <v>11481853</v>
      </c>
      <c r="N32" s="5">
        <v>11481853</v>
      </c>
      <c r="O32" s="5">
        <v>11481853</v>
      </c>
      <c r="P32" s="5">
        <v>11481853</v>
      </c>
      <c r="Q32" s="5">
        <v>11481853</v>
      </c>
      <c r="R32" s="5">
        <v>11481853</v>
      </c>
      <c r="S32" s="5">
        <v>11481853</v>
      </c>
      <c r="T32" s="5">
        <v>11481853</v>
      </c>
      <c r="U32" s="5">
        <v>11481853</v>
      </c>
      <c r="V32" s="5">
        <v>11481853</v>
      </c>
      <c r="W32" s="5">
        <v>11481853</v>
      </c>
      <c r="X32" s="5">
        <v>11481853</v>
      </c>
      <c r="Y32" s="5">
        <v>11481853</v>
      </c>
    </row>
    <row r="33" spans="1:25" ht="14.25" customHeight="1" x14ac:dyDescent="0.25">
      <c r="A33" t="s">
        <v>29</v>
      </c>
      <c r="B33" s="9" t="s">
        <v>23</v>
      </c>
      <c r="C33" s="10"/>
      <c r="D33" s="10"/>
      <c r="E33" s="10"/>
      <c r="F33" s="5">
        <f>29020146+9724713</f>
        <v>38744859</v>
      </c>
      <c r="G33" s="5">
        <f t="shared" ref="G33:Y33" si="22">29020146+9724713</f>
        <v>38744859</v>
      </c>
      <c r="H33" s="5">
        <f t="shared" si="22"/>
        <v>38744859</v>
      </c>
      <c r="I33" s="5">
        <f t="shared" si="22"/>
        <v>38744859</v>
      </c>
      <c r="J33" s="5">
        <f t="shared" si="22"/>
        <v>38744859</v>
      </c>
      <c r="K33" s="5">
        <f>29020146+9724713</f>
        <v>38744859</v>
      </c>
      <c r="L33" s="5">
        <f t="shared" si="22"/>
        <v>38744859</v>
      </c>
      <c r="M33" s="5">
        <f t="shared" si="22"/>
        <v>38744859</v>
      </c>
      <c r="N33" s="5">
        <f t="shared" si="22"/>
        <v>38744859</v>
      </c>
      <c r="O33" s="5">
        <f t="shared" si="22"/>
        <v>38744859</v>
      </c>
      <c r="P33" s="5">
        <f t="shared" si="22"/>
        <v>38744859</v>
      </c>
      <c r="Q33" s="5">
        <f t="shared" si="22"/>
        <v>38744859</v>
      </c>
      <c r="R33" s="5">
        <f t="shared" si="22"/>
        <v>38744859</v>
      </c>
      <c r="S33" s="5">
        <f t="shared" si="22"/>
        <v>38744859</v>
      </c>
      <c r="T33" s="5">
        <f t="shared" si="22"/>
        <v>38744859</v>
      </c>
      <c r="U33" s="5">
        <f t="shared" si="22"/>
        <v>38744859</v>
      </c>
      <c r="V33" s="5">
        <f t="shared" si="22"/>
        <v>38744859</v>
      </c>
      <c r="W33" s="5">
        <f t="shared" si="22"/>
        <v>38744859</v>
      </c>
      <c r="X33" s="5">
        <f t="shared" si="22"/>
        <v>38744859</v>
      </c>
      <c r="Y33" s="5">
        <f t="shared" si="22"/>
        <v>38744859</v>
      </c>
    </row>
    <row r="34" spans="1:25" ht="14.25" customHeight="1" x14ac:dyDescent="0.25">
      <c r="A34" t="s">
        <v>30</v>
      </c>
      <c r="B34" s="9" t="s">
        <v>23</v>
      </c>
      <c r="C34" s="10"/>
      <c r="D34" s="10"/>
      <c r="E34" s="10"/>
      <c r="F34" s="5">
        <v>6240380</v>
      </c>
      <c r="G34" s="5">
        <v>6240380</v>
      </c>
      <c r="H34" s="5">
        <v>6240380</v>
      </c>
      <c r="I34" s="5">
        <v>6240380</v>
      </c>
      <c r="J34" s="5">
        <v>6240380</v>
      </c>
      <c r="K34" s="5">
        <v>6240380</v>
      </c>
      <c r="L34" s="5">
        <v>6240380</v>
      </c>
      <c r="M34" s="5">
        <v>6240380</v>
      </c>
      <c r="N34" s="5">
        <v>6240380</v>
      </c>
      <c r="O34" s="5">
        <v>6240380</v>
      </c>
      <c r="P34" s="5">
        <v>6240380</v>
      </c>
      <c r="Q34" s="5">
        <v>6240380</v>
      </c>
      <c r="R34" s="5">
        <v>6240380</v>
      </c>
      <c r="S34" s="5">
        <v>6240380</v>
      </c>
      <c r="T34" s="5">
        <v>6240380</v>
      </c>
      <c r="U34" s="5">
        <v>6240380</v>
      </c>
      <c r="V34" s="5">
        <v>6240380</v>
      </c>
      <c r="W34" s="5">
        <v>6240380</v>
      </c>
      <c r="X34" s="5">
        <v>6240380</v>
      </c>
      <c r="Y34" s="5">
        <v>6240380</v>
      </c>
    </row>
    <row r="35" spans="1:25" ht="14.25" customHeight="1" x14ac:dyDescent="0.25">
      <c r="A35" t="s">
        <v>41</v>
      </c>
      <c r="B35" s="9" t="s">
        <v>23</v>
      </c>
      <c r="C35" s="10"/>
      <c r="D35" s="10"/>
      <c r="E35" s="10"/>
      <c r="F35" s="5">
        <v>6800000</v>
      </c>
      <c r="G35" s="5">
        <v>6800000</v>
      </c>
      <c r="H35" s="5">
        <v>6800000</v>
      </c>
      <c r="I35" s="5">
        <v>6800000</v>
      </c>
      <c r="J35" s="5">
        <v>6800000</v>
      </c>
      <c r="K35" s="5">
        <v>6800000</v>
      </c>
      <c r="L35" s="5">
        <v>6800000</v>
      </c>
      <c r="M35" s="5">
        <v>6800000</v>
      </c>
      <c r="N35" s="5">
        <v>6800000</v>
      </c>
      <c r="O35" s="5">
        <v>6800000</v>
      </c>
      <c r="P35" s="5">
        <v>6800000</v>
      </c>
      <c r="Q35" s="5">
        <v>6800000</v>
      </c>
      <c r="R35" s="5">
        <v>6800000</v>
      </c>
      <c r="S35" s="5">
        <v>6800000</v>
      </c>
      <c r="T35" s="5">
        <v>6800000</v>
      </c>
      <c r="U35" s="5">
        <v>6800000</v>
      </c>
      <c r="V35" s="5">
        <v>6800000</v>
      </c>
      <c r="W35" s="5">
        <v>6800000</v>
      </c>
      <c r="X35" s="5">
        <v>6800000</v>
      </c>
      <c r="Y35" s="5">
        <v>6800000</v>
      </c>
    </row>
    <row r="36" spans="1:25" x14ac:dyDescent="0.25">
      <c r="A36" s="8" t="s">
        <v>31</v>
      </c>
      <c r="B36" s="7"/>
      <c r="C36" s="7"/>
      <c r="D36" s="7"/>
      <c r="E36" s="7"/>
      <c r="F36" s="7">
        <v>2028</v>
      </c>
      <c r="G36" s="7">
        <v>2029</v>
      </c>
      <c r="H36" s="7">
        <v>2030</v>
      </c>
      <c r="I36" s="7">
        <v>2031</v>
      </c>
      <c r="J36" s="7">
        <v>2032</v>
      </c>
      <c r="K36" s="7">
        <v>2033</v>
      </c>
      <c r="L36" s="7">
        <v>2034</v>
      </c>
      <c r="M36" s="7">
        <v>2035</v>
      </c>
      <c r="N36" s="7">
        <v>2036</v>
      </c>
      <c r="O36" s="7">
        <v>2037</v>
      </c>
      <c r="P36" s="7">
        <v>2038</v>
      </c>
      <c r="Q36" s="7">
        <v>2039</v>
      </c>
      <c r="R36" s="7">
        <v>2040</v>
      </c>
      <c r="S36" s="7">
        <v>2041</v>
      </c>
      <c r="T36" s="7">
        <v>2042</v>
      </c>
      <c r="U36" s="7">
        <v>2043</v>
      </c>
      <c r="V36" s="7">
        <v>2044</v>
      </c>
      <c r="W36" s="7">
        <v>2045</v>
      </c>
      <c r="X36" s="7">
        <v>2046</v>
      </c>
      <c r="Y36" s="7">
        <v>2047</v>
      </c>
    </row>
    <row r="37" spans="1:25" x14ac:dyDescent="0.25">
      <c r="A37" t="s">
        <v>32</v>
      </c>
      <c r="B37" s="9" t="s">
        <v>23</v>
      </c>
      <c r="C37" s="10"/>
      <c r="D37" s="10"/>
      <c r="E37" s="10"/>
      <c r="F37" s="5">
        <f>113307898</f>
        <v>113307898</v>
      </c>
      <c r="G37" s="5">
        <f t="shared" ref="G37:Y37" si="23">113307898</f>
        <v>113307898</v>
      </c>
      <c r="H37" s="5">
        <f t="shared" si="23"/>
        <v>113307898</v>
      </c>
      <c r="I37" s="5">
        <f t="shared" si="23"/>
        <v>113307898</v>
      </c>
      <c r="J37" s="5">
        <f t="shared" si="23"/>
        <v>113307898</v>
      </c>
      <c r="K37" s="5">
        <f t="shared" si="23"/>
        <v>113307898</v>
      </c>
      <c r="L37" s="5">
        <f t="shared" si="23"/>
        <v>113307898</v>
      </c>
      <c r="M37" s="5">
        <f t="shared" si="23"/>
        <v>113307898</v>
      </c>
      <c r="N37" s="5">
        <f t="shared" si="23"/>
        <v>113307898</v>
      </c>
      <c r="O37" s="5">
        <f t="shared" si="23"/>
        <v>113307898</v>
      </c>
      <c r="P37" s="5">
        <f t="shared" si="23"/>
        <v>113307898</v>
      </c>
      <c r="Q37" s="5">
        <f t="shared" si="23"/>
        <v>113307898</v>
      </c>
      <c r="R37" s="5">
        <f t="shared" si="23"/>
        <v>113307898</v>
      </c>
      <c r="S37" s="5">
        <f t="shared" si="23"/>
        <v>113307898</v>
      </c>
      <c r="T37" s="5">
        <f t="shared" si="23"/>
        <v>113307898</v>
      </c>
      <c r="U37" s="5">
        <f t="shared" si="23"/>
        <v>113307898</v>
      </c>
      <c r="V37" s="5">
        <f t="shared" si="23"/>
        <v>113307898</v>
      </c>
      <c r="W37" s="5">
        <f t="shared" si="23"/>
        <v>113307898</v>
      </c>
      <c r="X37" s="5">
        <f t="shared" si="23"/>
        <v>113307898</v>
      </c>
      <c r="Y37" s="5">
        <f t="shared" si="23"/>
        <v>113307898</v>
      </c>
    </row>
    <row r="38" spans="1:25" x14ac:dyDescent="0.25">
      <c r="A38" t="s">
        <v>40</v>
      </c>
      <c r="B38" s="9" t="s">
        <v>23</v>
      </c>
      <c r="C38" s="10"/>
      <c r="D38" s="10"/>
      <c r="E38" s="10"/>
      <c r="F38" s="5">
        <v>1294843</v>
      </c>
      <c r="G38" s="5">
        <v>1294843</v>
      </c>
      <c r="H38" s="5">
        <v>1294843</v>
      </c>
      <c r="I38" s="5">
        <v>1294843</v>
      </c>
      <c r="J38" s="5">
        <v>1294843</v>
      </c>
      <c r="K38" s="5">
        <v>1294843</v>
      </c>
      <c r="L38" s="5">
        <v>1294843</v>
      </c>
      <c r="M38" s="5">
        <v>1294843</v>
      </c>
      <c r="N38" s="5">
        <v>1294843</v>
      </c>
      <c r="O38" s="5">
        <v>1294843</v>
      </c>
      <c r="P38" s="5">
        <v>1294843</v>
      </c>
      <c r="Q38" s="5">
        <v>1294843</v>
      </c>
      <c r="R38" s="5">
        <v>1294843</v>
      </c>
      <c r="S38" s="5">
        <v>1294843</v>
      </c>
      <c r="T38" s="5">
        <v>1294843</v>
      </c>
      <c r="U38" s="5">
        <v>1294843</v>
      </c>
      <c r="V38" s="5">
        <v>1294843</v>
      </c>
      <c r="W38" s="5">
        <v>1294843</v>
      </c>
      <c r="X38" s="5">
        <v>1294843</v>
      </c>
      <c r="Y38" s="5">
        <v>1294843</v>
      </c>
    </row>
    <row r="39" spans="1:25" x14ac:dyDescent="0.25">
      <c r="B39" s="9"/>
      <c r="C39" s="10"/>
      <c r="D39" s="10"/>
      <c r="E39" s="10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x14ac:dyDescent="0.25">
      <c r="B40" s="9"/>
      <c r="C40" s="9"/>
      <c r="D40" s="9"/>
      <c r="E40" s="9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x14ac:dyDescent="0.25">
      <c r="A41" s="8" t="s">
        <v>33</v>
      </c>
      <c r="B41" s="8"/>
      <c r="C41" s="8"/>
      <c r="D41" s="8"/>
      <c r="E41" s="8"/>
      <c r="F41" s="7">
        <v>2028</v>
      </c>
      <c r="G41" s="7">
        <v>2029</v>
      </c>
      <c r="H41" s="7">
        <v>2030</v>
      </c>
      <c r="I41" s="7">
        <v>2031</v>
      </c>
      <c r="J41" s="7">
        <v>2032</v>
      </c>
      <c r="K41" s="7">
        <v>2033</v>
      </c>
      <c r="L41" s="7">
        <v>2034</v>
      </c>
      <c r="M41" s="7">
        <v>2035</v>
      </c>
      <c r="N41" s="7">
        <v>2036</v>
      </c>
      <c r="O41" s="7">
        <v>2037</v>
      </c>
      <c r="P41" s="7">
        <v>2038</v>
      </c>
      <c r="Q41" s="7">
        <v>2039</v>
      </c>
      <c r="R41" s="7">
        <v>2040</v>
      </c>
      <c r="S41" s="7">
        <v>2041</v>
      </c>
      <c r="T41" s="7">
        <v>2042</v>
      </c>
      <c r="U41" s="7">
        <v>2043</v>
      </c>
      <c r="V41" s="7">
        <v>2044</v>
      </c>
      <c r="W41" s="7">
        <v>2045</v>
      </c>
      <c r="X41" s="7">
        <v>2046</v>
      </c>
      <c r="Y41" s="7">
        <v>2047</v>
      </c>
    </row>
    <row r="42" spans="1:25" x14ac:dyDescent="0.25">
      <c r="A42" t="s">
        <v>52</v>
      </c>
      <c r="B42" s="9" t="s">
        <v>23</v>
      </c>
      <c r="C42" s="10"/>
      <c r="D42" s="10"/>
      <c r="E42" s="10"/>
      <c r="F42" s="5">
        <f>F37+F38-F34-F33-F32-F29-F24-F35</f>
        <v>-2028339.5666666664</v>
      </c>
      <c r="G42" s="5">
        <f t="shared" ref="G42:Y42" si="24">G37+G38-G34-G33-G32-G29-G24-G35</f>
        <v>-1266854.9227357581</v>
      </c>
      <c r="H42" s="5">
        <f t="shared" si="24"/>
        <v>-535083.81163837761</v>
      </c>
      <c r="I42" s="5">
        <f t="shared" si="24"/>
        <v>167746.45900673792</v>
      </c>
      <c r="J42" s="5">
        <f t="shared" si="24"/>
        <v>1085018.8466640413</v>
      </c>
      <c r="K42" s="5">
        <f t="shared" si="24"/>
        <v>1693053.981396623</v>
      </c>
      <c r="L42" s="5">
        <f t="shared" si="24"/>
        <v>2274354.8489723019</v>
      </c>
      <c r="M42" s="5">
        <f t="shared" si="24"/>
        <v>9046006.4997869134</v>
      </c>
      <c r="N42" s="5">
        <f t="shared" si="24"/>
        <v>9874600.3552549817</v>
      </c>
      <c r="O42" s="5">
        <f t="shared" si="24"/>
        <v>10678508.254741687</v>
      </c>
      <c r="P42" s="5">
        <f t="shared" si="24"/>
        <v>11458379.707533699</v>
      </c>
      <c r="Q42" s="5">
        <f t="shared" si="24"/>
        <v>12214848.242913358</v>
      </c>
      <c r="R42" s="5">
        <f t="shared" si="24"/>
        <v>12948531.787110299</v>
      </c>
      <c r="S42" s="5">
        <f t="shared" si="24"/>
        <v>13660033.031614427</v>
      </c>
      <c r="T42" s="5">
        <f t="shared" si="24"/>
        <v>14349939.793044146</v>
      </c>
      <c r="U42" s="5">
        <f t="shared" si="24"/>
        <v>15018825.364759356</v>
      </c>
      <c r="V42" s="5">
        <f t="shared" si="24"/>
        <v>15667248.860404592</v>
      </c>
      <c r="W42" s="5">
        <f t="shared" si="24"/>
        <v>16295755.549563643</v>
      </c>
      <c r="X42" s="5">
        <f t="shared" si="24"/>
        <v>16904877.185702845</v>
      </c>
      <c r="Y42" s="5">
        <f t="shared" si="24"/>
        <v>17495132.326576468</v>
      </c>
    </row>
    <row r="43" spans="1:25" x14ac:dyDescent="0.25">
      <c r="A43" t="s">
        <v>34</v>
      </c>
      <c r="B43" s="9" t="s">
        <v>23</v>
      </c>
      <c r="C43" s="10"/>
      <c r="D43" s="10"/>
      <c r="E43" s="10"/>
      <c r="F43" s="5">
        <f>F42</f>
        <v>-2028339.5666666664</v>
      </c>
      <c r="G43" s="5">
        <f>G42+F43</f>
        <v>-3295194.4894024245</v>
      </c>
      <c r="H43" s="5">
        <f t="shared" ref="H43:Y43" si="25">H42+G43</f>
        <v>-3830278.3010408022</v>
      </c>
      <c r="I43" s="5">
        <f t="shared" si="25"/>
        <v>-3662531.8420340642</v>
      </c>
      <c r="J43" s="5">
        <f t="shared" si="25"/>
        <v>-2577512.995370023</v>
      </c>
      <c r="K43" s="5">
        <f t="shared" si="25"/>
        <v>-884459.0139734</v>
      </c>
      <c r="L43" s="5">
        <f t="shared" si="25"/>
        <v>1389895.8349989019</v>
      </c>
      <c r="M43" s="5">
        <f t="shared" si="25"/>
        <v>10435902.334785815</v>
      </c>
      <c r="N43" s="5">
        <f t="shared" si="25"/>
        <v>20310502.690040797</v>
      </c>
      <c r="O43" s="5">
        <f t="shared" si="25"/>
        <v>30989010.944782484</v>
      </c>
      <c r="P43" s="5">
        <f t="shared" si="25"/>
        <v>42447390.652316183</v>
      </c>
      <c r="Q43" s="5">
        <f t="shared" si="25"/>
        <v>54662238.895229541</v>
      </c>
      <c r="R43" s="5">
        <f t="shared" si="25"/>
        <v>67610770.682339847</v>
      </c>
      <c r="S43" s="5">
        <f t="shared" si="25"/>
        <v>81270803.71395427</v>
      </c>
      <c r="T43" s="5">
        <f t="shared" si="25"/>
        <v>95620743.50699842</v>
      </c>
      <c r="U43" s="5">
        <f t="shared" si="25"/>
        <v>110639568.87175778</v>
      </c>
      <c r="V43" s="5">
        <f t="shared" si="25"/>
        <v>126306817.73216237</v>
      </c>
      <c r="W43" s="5">
        <f t="shared" si="25"/>
        <v>142602573.281726</v>
      </c>
      <c r="X43" s="5">
        <f t="shared" si="25"/>
        <v>159507450.46742886</v>
      </c>
      <c r="Y43" s="5">
        <f t="shared" si="25"/>
        <v>177002582.79400533</v>
      </c>
    </row>
    <row r="44" spans="1:25" x14ac:dyDescent="0.25">
      <c r="A44" t="s">
        <v>51</v>
      </c>
      <c r="B44" s="15" t="str">
        <f t="shared" ref="B44" si="26">$B$7</f>
        <v>kr.</v>
      </c>
      <c r="C44" s="16"/>
      <c r="D44" s="25">
        <f>(D16-D23)/(1+D23)</f>
        <v>1.2647058823529411E-2</v>
      </c>
      <c r="E44" s="20">
        <f>NPV(D44,F42:Y42)</f>
        <v>147169145.85267931</v>
      </c>
    </row>
    <row r="45" spans="1:25" x14ac:dyDescent="0.25">
      <c r="A45" s="26" t="s">
        <v>61</v>
      </c>
      <c r="C45" s="12"/>
      <c r="D45" s="12"/>
      <c r="E45" s="12"/>
    </row>
    <row r="47" spans="1:25" x14ac:dyDescent="0.25">
      <c r="C47" s="12"/>
      <c r="D47" s="12"/>
      <c r="E47" s="12"/>
    </row>
    <row r="76" spans="1:25" x14ac:dyDescent="0.25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x14ac:dyDescent="0.25">
      <c r="A77" s="8" t="s">
        <v>57</v>
      </c>
      <c r="B77" s="7"/>
      <c r="C77" s="7"/>
      <c r="D77" s="7"/>
      <c r="E77" s="7"/>
      <c r="F77" s="7">
        <v>2028</v>
      </c>
      <c r="G77" s="7">
        <v>2029</v>
      </c>
      <c r="H77" s="7">
        <v>2030</v>
      </c>
      <c r="I77" s="7">
        <v>2031</v>
      </c>
      <c r="J77" s="7">
        <v>2032</v>
      </c>
      <c r="K77" s="7">
        <v>2033</v>
      </c>
      <c r="L77" s="7">
        <v>2034</v>
      </c>
      <c r="M77" s="7">
        <v>2035</v>
      </c>
      <c r="N77" s="7">
        <v>2036</v>
      </c>
      <c r="O77" s="7">
        <v>2037</v>
      </c>
      <c r="P77" s="7">
        <v>2038</v>
      </c>
      <c r="Q77" s="7">
        <v>2039</v>
      </c>
      <c r="R77" s="7">
        <v>2040</v>
      </c>
      <c r="S77" s="7">
        <v>2041</v>
      </c>
      <c r="T77" s="7">
        <v>2042</v>
      </c>
      <c r="U77" s="7">
        <v>2043</v>
      </c>
      <c r="V77" s="7">
        <v>2044</v>
      </c>
      <c r="W77" s="7">
        <v>2045</v>
      </c>
      <c r="X77" s="7">
        <v>2046</v>
      </c>
      <c r="Y77" s="7">
        <v>2047</v>
      </c>
    </row>
    <row r="78" spans="1:25" x14ac:dyDescent="0.25">
      <c r="A78" t="s">
        <v>55</v>
      </c>
      <c r="D78" s="17">
        <v>3.2899999999999999E-2</v>
      </c>
      <c r="F78" s="5">
        <f>F43</f>
        <v>-2028339.5666666664</v>
      </c>
      <c r="G78" s="5">
        <f>G43</f>
        <v>-3295194.4894024245</v>
      </c>
      <c r="H78" s="5">
        <f t="shared" ref="H78:Y78" si="27">H43</f>
        <v>-3830278.3010408022</v>
      </c>
      <c r="I78" s="5">
        <f t="shared" si="27"/>
        <v>-3662531.8420340642</v>
      </c>
      <c r="J78" s="5">
        <f t="shared" si="27"/>
        <v>-2577512.995370023</v>
      </c>
      <c r="K78" s="5">
        <f t="shared" si="27"/>
        <v>-884459.0139734</v>
      </c>
      <c r="L78" s="5">
        <f t="shared" si="27"/>
        <v>1389895.8349989019</v>
      </c>
      <c r="M78" s="5">
        <f t="shared" si="27"/>
        <v>10435902.334785815</v>
      </c>
      <c r="N78" s="5">
        <f t="shared" si="27"/>
        <v>20310502.690040797</v>
      </c>
      <c r="O78" s="5">
        <f t="shared" si="27"/>
        <v>30989010.944782484</v>
      </c>
      <c r="P78" s="5">
        <f t="shared" si="27"/>
        <v>42447390.652316183</v>
      </c>
      <c r="Q78" s="5">
        <f t="shared" si="27"/>
        <v>54662238.895229541</v>
      </c>
      <c r="R78" s="5">
        <f t="shared" si="27"/>
        <v>67610770.682339847</v>
      </c>
      <c r="S78" s="5">
        <f t="shared" si="27"/>
        <v>81270803.71395427</v>
      </c>
      <c r="T78" s="5">
        <f t="shared" si="27"/>
        <v>95620743.50699842</v>
      </c>
      <c r="U78" s="5">
        <f t="shared" si="27"/>
        <v>110639568.87175778</v>
      </c>
      <c r="V78" s="5">
        <f t="shared" si="27"/>
        <v>126306817.73216237</v>
      </c>
      <c r="W78" s="5">
        <f t="shared" si="27"/>
        <v>142602573.281726</v>
      </c>
      <c r="X78" s="5">
        <f t="shared" si="27"/>
        <v>159507450.46742886</v>
      </c>
      <c r="Y78" s="5">
        <f t="shared" si="27"/>
        <v>177002582.79400533</v>
      </c>
    </row>
    <row r="79" spans="1:25" x14ac:dyDescent="0.25">
      <c r="D79" s="11">
        <f>D80-0.5%</f>
        <v>2.2899999999999997E-2</v>
      </c>
      <c r="E79" s="11"/>
      <c r="F79" s="5">
        <v>1476370.4333333336</v>
      </c>
      <c r="G79" s="5">
        <v>3495237.4060224108</v>
      </c>
      <c r="H79" s="5">
        <v>6034127.7069048546</v>
      </c>
      <c r="I79" s="5">
        <v>9071141.0768282078</v>
      </c>
      <c r="J79" s="5">
        <v>12827565.523020379</v>
      </c>
      <c r="K79" s="5">
        <v>17000819.919758003</v>
      </c>
      <c r="L79" s="5">
        <v>21570641.1737356</v>
      </c>
      <c r="M79" s="5">
        <v>32733670.98270148</v>
      </c>
      <c r="N79" s="5">
        <v>44552966.787514135</v>
      </c>
      <c r="O79" s="5">
        <v>57009786.660785891</v>
      </c>
      <c r="P79" s="5">
        <v>70085871.339718729</v>
      </c>
      <c r="Q79" s="5">
        <v>83763432.50374338</v>
      </c>
      <c r="R79" s="5">
        <v>98025141.326289937</v>
      </c>
      <c r="S79" s="5">
        <v>112854117.29444672</v>
      </c>
      <c r="T79" s="5">
        <v>128233917.29040337</v>
      </c>
      <c r="U79" s="5">
        <v>144148524.92871052</v>
      </c>
      <c r="V79" s="5">
        <v>160582340.14352208</v>
      </c>
      <c r="W79" s="5">
        <v>177520169.02011615</v>
      </c>
      <c r="X79" s="5">
        <v>194947213.86511835</v>
      </c>
      <c r="Y79" s="5">
        <v>212849063.50997654</v>
      </c>
    </row>
    <row r="80" spans="1:25" x14ac:dyDescent="0.25">
      <c r="D80" s="11">
        <f>D81-0.5%</f>
        <v>2.7899999999999998E-2</v>
      </c>
      <c r="F80" s="5">
        <v>-275984.56666666642</v>
      </c>
      <c r="G80" s="5">
        <v>100021.45830998942</v>
      </c>
      <c r="H80" s="5">
        <v>1101924.7029320225</v>
      </c>
      <c r="I80" s="5">
        <v>2704304.6173970699</v>
      </c>
      <c r="J80" s="5">
        <v>5125026.2638251744</v>
      </c>
      <c r="K80" s="5">
        <v>8058180.452892296</v>
      </c>
      <c r="L80" s="5">
        <v>11480268.504367247</v>
      </c>
      <c r="M80" s="5">
        <v>21584786.658743646</v>
      </c>
      <c r="N80" s="5">
        <v>32431734.738777466</v>
      </c>
      <c r="O80" s="5">
        <v>43999398.80278419</v>
      </c>
      <c r="P80" s="5">
        <v>56266630.996017456</v>
      </c>
      <c r="Q80" s="5">
        <v>69212835.699486464</v>
      </c>
      <c r="R80" s="5">
        <v>82817956.004314885</v>
      </c>
      <c r="S80" s="5">
        <v>97062460.504200488</v>
      </c>
      <c r="T80" s="5">
        <v>111927330.39870089</v>
      </c>
      <c r="U80" s="5">
        <v>127394046.90023415</v>
      </c>
      <c r="V80" s="5">
        <v>143444578.93784222</v>
      </c>
      <c r="W80" s="5">
        <v>160061371.15092108</v>
      </c>
      <c r="X80" s="5">
        <v>177227332.16627359</v>
      </c>
      <c r="Y80" s="5">
        <v>194925823.15199092</v>
      </c>
    </row>
    <row r="81" spans="1:25" x14ac:dyDescent="0.25">
      <c r="D81" s="11">
        <f>2.54%+0.75%</f>
        <v>3.2899999999999999E-2</v>
      </c>
      <c r="E81" s="31" t="s">
        <v>58</v>
      </c>
      <c r="F81" s="5">
        <v>-2028339.5666666664</v>
      </c>
      <c r="G81" s="5">
        <v>-3295194.4894024245</v>
      </c>
      <c r="H81" s="5">
        <v>-3830278.3010408022</v>
      </c>
      <c r="I81" s="5">
        <v>-3662531.8420340642</v>
      </c>
      <c r="J81" s="5">
        <v>-2577512.995370023</v>
      </c>
      <c r="K81" s="5">
        <v>-884459.0139734</v>
      </c>
      <c r="L81" s="5">
        <v>1389895.8349989019</v>
      </c>
      <c r="M81" s="5">
        <v>10435902.334785815</v>
      </c>
      <c r="N81" s="5">
        <v>20310502.690040797</v>
      </c>
      <c r="O81" s="5">
        <v>30989010.944782484</v>
      </c>
      <c r="P81" s="5">
        <v>42447390.652316183</v>
      </c>
      <c r="Q81" s="5">
        <v>54662238.895229541</v>
      </c>
      <c r="R81" s="5">
        <v>67610770.682339847</v>
      </c>
      <c r="S81" s="5">
        <v>81270803.71395427</v>
      </c>
      <c r="T81" s="5">
        <v>95620743.50699842</v>
      </c>
      <c r="U81" s="5">
        <v>110639568.87175778</v>
      </c>
      <c r="V81" s="5">
        <v>126306817.73216237</v>
      </c>
      <c r="W81" s="5">
        <v>142602573.281726</v>
      </c>
      <c r="X81" s="5">
        <v>159507450.46742886</v>
      </c>
      <c r="Y81" s="5">
        <v>177002582.79400533</v>
      </c>
    </row>
    <row r="82" spans="1:25" x14ac:dyDescent="0.25">
      <c r="D82" s="11">
        <f>D81+0.5%</f>
        <v>3.7899999999999996E-2</v>
      </c>
      <c r="F82" s="5">
        <v>-3780694.5666666664</v>
      </c>
      <c r="G82" s="5">
        <v>-6690410.437114846</v>
      </c>
      <c r="H82" s="5">
        <v>-8762481.305013638</v>
      </c>
      <c r="I82" s="5">
        <v>-10029368.301465206</v>
      </c>
      <c r="J82" s="5">
        <v>-10280052.254565235</v>
      </c>
      <c r="K82" s="5">
        <v>-9827098.4808391146</v>
      </c>
      <c r="L82" s="5">
        <v>-8700476.8343694583</v>
      </c>
      <c r="M82" s="5">
        <v>-712981.98917203024</v>
      </c>
      <c r="N82" s="5">
        <v>8189270.6413041167</v>
      </c>
      <c r="O82" s="5">
        <v>17978623.086780772</v>
      </c>
      <c r="P82" s="5">
        <v>28628150.308614902</v>
      </c>
      <c r="Q82" s="5">
        <v>40111642.090972617</v>
      </c>
      <c r="R82" s="5">
        <v>52403585.360364787</v>
      </c>
      <c r="S82" s="5">
        <v>65479146.923708029</v>
      </c>
      <c r="T82" s="5">
        <v>79314156.615295917</v>
      </c>
      <c r="U82" s="5">
        <v>93885090.843281358</v>
      </c>
      <c r="V82" s="5">
        <v>109169056.52648246</v>
      </c>
      <c r="W82" s="5">
        <v>125143775.4125309</v>
      </c>
      <c r="X82" s="5">
        <v>141787568.76858407</v>
      </c>
      <c r="Y82" s="5">
        <v>159079342.43601969</v>
      </c>
    </row>
    <row r="83" spans="1:25" x14ac:dyDescent="0.25">
      <c r="D83" s="11">
        <f>D82+0.5%</f>
        <v>4.2899999999999994E-2</v>
      </c>
      <c r="F83" s="5">
        <v>-5533049.5666666664</v>
      </c>
      <c r="G83" s="5">
        <v>-10085626.384827264</v>
      </c>
      <c r="H83" s="5">
        <v>-13694684.308986466</v>
      </c>
      <c r="I83" s="5">
        <v>-16396204.760896344</v>
      </c>
      <c r="J83" s="5">
        <v>-17982591.51376044</v>
      </c>
      <c r="K83" s="5">
        <v>-18769737.947704822</v>
      </c>
      <c r="L83" s="5">
        <v>-18790849.503737815</v>
      </c>
      <c r="M83" s="5">
        <v>-11861866.313129872</v>
      </c>
      <c r="N83" s="5">
        <v>-3931961.4074325599</v>
      </c>
      <c r="O83" s="5">
        <v>4968235.2287790589</v>
      </c>
      <c r="P83" s="5">
        <v>14808909.964913618</v>
      </c>
      <c r="Q83" s="5">
        <v>25561045.286715694</v>
      </c>
      <c r="R83" s="5">
        <v>37196400.038389735</v>
      </c>
      <c r="S83" s="5">
        <v>49687490.133461796</v>
      </c>
      <c r="T83" s="5">
        <v>63007569.723593444</v>
      </c>
      <c r="U83" s="5">
        <v>77130612.814804986</v>
      </c>
      <c r="V83" s="5">
        <v>92031295.320802599</v>
      </c>
      <c r="W83" s="5">
        <v>107684977.54333583</v>
      </c>
      <c r="X83" s="5">
        <v>124067687.06973931</v>
      </c>
      <c r="Y83" s="5">
        <v>141156102.07803407</v>
      </c>
    </row>
    <row r="84" spans="1:25" x14ac:dyDescent="0.25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x14ac:dyDescent="0.25">
      <c r="A85" t="s">
        <v>56</v>
      </c>
      <c r="D85" s="29">
        <v>1</v>
      </c>
      <c r="F85" s="5">
        <f>F43</f>
        <v>-2028339.5666666664</v>
      </c>
      <c r="G85" s="5">
        <f t="shared" ref="G85:Y85" si="28">G43</f>
        <v>-3295194.4894024245</v>
      </c>
      <c r="H85" s="5">
        <f t="shared" si="28"/>
        <v>-3830278.3010408022</v>
      </c>
      <c r="I85" s="5">
        <f t="shared" si="28"/>
        <v>-3662531.8420340642</v>
      </c>
      <c r="J85" s="5">
        <f t="shared" si="28"/>
        <v>-2577512.995370023</v>
      </c>
      <c r="K85" s="5">
        <f t="shared" si="28"/>
        <v>-884459.0139734</v>
      </c>
      <c r="L85" s="5">
        <f t="shared" si="28"/>
        <v>1389895.8349989019</v>
      </c>
      <c r="M85" s="5">
        <f t="shared" si="28"/>
        <v>10435902.334785815</v>
      </c>
      <c r="N85" s="5">
        <f t="shared" si="28"/>
        <v>20310502.690040797</v>
      </c>
      <c r="O85" s="5">
        <f t="shared" si="28"/>
        <v>30989010.944782484</v>
      </c>
      <c r="P85" s="5">
        <f t="shared" si="28"/>
        <v>42447390.652316183</v>
      </c>
      <c r="Q85" s="5">
        <f t="shared" si="28"/>
        <v>54662238.895229541</v>
      </c>
      <c r="R85" s="5">
        <f t="shared" si="28"/>
        <v>67610770.682339847</v>
      </c>
      <c r="S85" s="5">
        <f t="shared" si="28"/>
        <v>81270803.71395427</v>
      </c>
      <c r="T85" s="5">
        <f t="shared" si="28"/>
        <v>95620743.50699842</v>
      </c>
      <c r="U85" s="5">
        <f t="shared" si="28"/>
        <v>110639568.87175778</v>
      </c>
      <c r="V85" s="5">
        <f t="shared" si="28"/>
        <v>126306817.73216237</v>
      </c>
      <c r="W85" s="5">
        <f t="shared" si="28"/>
        <v>142602573.281726</v>
      </c>
      <c r="X85" s="5">
        <f t="shared" si="28"/>
        <v>159507450.46742886</v>
      </c>
      <c r="Y85" s="5">
        <f t="shared" si="28"/>
        <v>177002582.79400533</v>
      </c>
    </row>
    <row r="86" spans="1:25" x14ac:dyDescent="0.25">
      <c r="D86" s="2">
        <f>D87-10%</f>
        <v>0.8</v>
      </c>
      <c r="F86" s="5">
        <v>3343232.9466666691</v>
      </c>
      <c r="G86" s="5">
        <v>7243749.0441923477</v>
      </c>
      <c r="H86" s="5">
        <v>11677777.466310218</v>
      </c>
      <c r="I86" s="5">
        <v>16622165.540658467</v>
      </c>
      <c r="J86" s="5">
        <v>22296992.789418269</v>
      </c>
      <c r="K86" s="5">
        <v>28398512.28882128</v>
      </c>
      <c r="L86" s="5">
        <v>34905336.625141978</v>
      </c>
      <c r="M86" s="5">
        <v>48013023.47497151</v>
      </c>
      <c r="N86" s="5">
        <v>61783585.4091755</v>
      </c>
      <c r="O86" s="5">
        <v>76197273.662968844</v>
      </c>
      <c r="P86" s="5">
        <v>91234859.078995794</v>
      </c>
      <c r="Q86" s="5">
        <v>106877619.32332648</v>
      </c>
      <c r="R86" s="5">
        <v>123107326.40301472</v>
      </c>
      <c r="S86" s="5">
        <v>139906234.47830626</v>
      </c>
      <c r="T86" s="5">
        <v>157257067.96274158</v>
      </c>
      <c r="U86" s="5">
        <v>175143009.90454906</v>
      </c>
      <c r="V86" s="5">
        <v>193547690.64287272</v>
      </c>
      <c r="W86" s="5">
        <v>212455176.73252362</v>
      </c>
      <c r="X86" s="5">
        <v>231849960.1310859</v>
      </c>
      <c r="Y86" s="5">
        <v>251716947.64234707</v>
      </c>
    </row>
    <row r="87" spans="1:25" x14ac:dyDescent="0.25">
      <c r="D87" s="2">
        <f>D88-10%</f>
        <v>0.9</v>
      </c>
      <c r="F87" s="5">
        <v>657446.69000000134</v>
      </c>
      <c r="G87" s="5">
        <v>1974277.2773949616</v>
      </c>
      <c r="H87" s="5">
        <v>3923749.5826347061</v>
      </c>
      <c r="I87" s="5">
        <v>6479816.8493122011</v>
      </c>
      <c r="J87" s="5">
        <v>9859739.8970241211</v>
      </c>
      <c r="K87" s="5">
        <v>13757026.637423936</v>
      </c>
      <c r="L87" s="5">
        <v>18147616.230070442</v>
      </c>
      <c r="M87" s="5">
        <v>29224462.904878661</v>
      </c>
      <c r="N87" s="5">
        <v>41047044.049608149</v>
      </c>
      <c r="O87" s="5">
        <v>53593142.30387567</v>
      </c>
      <c r="P87" s="5">
        <v>66841124.865656003</v>
      </c>
      <c r="Q87" s="5">
        <v>80769929.109278023</v>
      </c>
      <c r="R87" s="5">
        <v>95359048.542677283</v>
      </c>
      <c r="S87" s="5">
        <v>110588519.09613027</v>
      </c>
      <c r="T87" s="5">
        <v>126438905.73486999</v>
      </c>
      <c r="U87" s="5">
        <v>142891289.3881534</v>
      </c>
      <c r="V87" s="5">
        <v>159927254.18751752</v>
      </c>
      <c r="W87" s="5">
        <v>177528875.00712481</v>
      </c>
      <c r="X87" s="5">
        <v>195678705.29925737</v>
      </c>
      <c r="Y87" s="5">
        <v>214359765.21817619</v>
      </c>
    </row>
    <row r="88" spans="1:25" x14ac:dyDescent="0.25">
      <c r="D88" s="2">
        <v>1</v>
      </c>
      <c r="E88" s="31" t="s">
        <v>58</v>
      </c>
      <c r="F88" s="5">
        <v>-2028339.5666666664</v>
      </c>
      <c r="G88" s="5">
        <v>-3295194.4894024245</v>
      </c>
      <c r="H88" s="5">
        <v>-3830278.3010408022</v>
      </c>
      <c r="I88" s="5">
        <v>-3662531.8420340642</v>
      </c>
      <c r="J88" s="5">
        <v>-2577512.995370023</v>
      </c>
      <c r="K88" s="5">
        <v>-884459.0139734</v>
      </c>
      <c r="L88" s="5">
        <v>1389895.8349989019</v>
      </c>
      <c r="M88" s="5">
        <v>10435902.334785815</v>
      </c>
      <c r="N88" s="5">
        <v>20310502.690040797</v>
      </c>
      <c r="O88" s="5">
        <v>30989010.944782484</v>
      </c>
      <c r="P88" s="5">
        <v>42447390.652316183</v>
      </c>
      <c r="Q88" s="5">
        <v>54662238.895229541</v>
      </c>
      <c r="R88" s="5">
        <v>67610770.682339847</v>
      </c>
      <c r="S88" s="5">
        <v>81270803.71395427</v>
      </c>
      <c r="T88" s="5">
        <v>95620743.50699842</v>
      </c>
      <c r="U88" s="5">
        <v>110639568.87175778</v>
      </c>
      <c r="V88" s="5">
        <v>126306817.73216237</v>
      </c>
      <c r="W88" s="5">
        <v>142602573.281726</v>
      </c>
      <c r="X88" s="5">
        <v>159507450.46742886</v>
      </c>
      <c r="Y88" s="5">
        <v>177002582.79400533</v>
      </c>
    </row>
    <row r="89" spans="1:25" x14ac:dyDescent="0.25">
      <c r="D89" s="2">
        <f>D88+10%</f>
        <v>1.1000000000000001</v>
      </c>
      <c r="F89" s="5">
        <v>-4714125.8233333342</v>
      </c>
      <c r="G89" s="5">
        <v>-8564666.2561998144</v>
      </c>
      <c r="H89" s="5">
        <v>-11584306.184716318</v>
      </c>
      <c r="I89" s="5">
        <v>-13804880.533380337</v>
      </c>
      <c r="J89" s="5">
        <v>-15014765.887764178</v>
      </c>
      <c r="K89" s="5">
        <v>-15525944.665370755</v>
      </c>
      <c r="L89" s="5">
        <v>-15367824.560072649</v>
      </c>
      <c r="M89" s="5">
        <v>-8352658.235307049</v>
      </c>
      <c r="N89" s="5">
        <v>-426038.66952656955</v>
      </c>
      <c r="O89" s="5">
        <v>8384879.5856892876</v>
      </c>
      <c r="P89" s="5">
        <v>18053656.438976355</v>
      </c>
      <c r="Q89" s="5">
        <v>28554548.681181047</v>
      </c>
      <c r="R89" s="5">
        <v>39862492.822002366</v>
      </c>
      <c r="S89" s="5">
        <v>51953088.331778228</v>
      </c>
      <c r="T89" s="5">
        <v>64802581.279126786</v>
      </c>
      <c r="U89" s="5">
        <v>78387848.355362073</v>
      </c>
      <c r="V89" s="5">
        <v>92686381.276807114</v>
      </c>
      <c r="W89" s="5">
        <v>107676271.55632712</v>
      </c>
      <c r="X89" s="5">
        <v>123336195.63560024</v>
      </c>
      <c r="Y89" s="5">
        <v>139645400.36983436</v>
      </c>
    </row>
    <row r="90" spans="1:25" x14ac:dyDescent="0.25">
      <c r="D90" s="2">
        <f>D89+10%</f>
        <v>1.2000000000000002</v>
      </c>
      <c r="F90" s="5">
        <v>-7399912.0799999982</v>
      </c>
      <c r="G90" s="5">
        <v>-13834138.022997197</v>
      </c>
      <c r="H90" s="5">
        <v>-19338334.068391819</v>
      </c>
      <c r="I90" s="5">
        <v>-23947229.224726588</v>
      </c>
      <c r="J90" s="5">
        <v>-27452018.780158311</v>
      </c>
      <c r="K90" s="5">
        <v>-30167430.31676808</v>
      </c>
      <c r="L90" s="5">
        <v>-32125544.955144171</v>
      </c>
      <c r="M90" s="5">
        <v>-27141218.805399872</v>
      </c>
      <c r="N90" s="5">
        <v>-21162580.029093891</v>
      </c>
      <c r="O90" s="5">
        <v>-14219251.773403864</v>
      </c>
      <c r="P90" s="5">
        <v>-6340077.7743634246</v>
      </c>
      <c r="Q90" s="5">
        <v>2446858.4671326093</v>
      </c>
      <c r="R90" s="5">
        <v>12114214.961664964</v>
      </c>
      <c r="S90" s="5">
        <v>22635372.949602272</v>
      </c>
      <c r="T90" s="5">
        <v>33984419.051255241</v>
      </c>
      <c r="U90" s="5">
        <v>46136127.838966459</v>
      </c>
      <c r="V90" s="5">
        <v>59065944.821451969</v>
      </c>
      <c r="W90" s="5">
        <v>72749969.830928341</v>
      </c>
      <c r="X90" s="5">
        <v>87164940.803771749</v>
      </c>
      <c r="Y90" s="5">
        <v>102288217.94566351</v>
      </c>
    </row>
    <row r="91" spans="1:25" x14ac:dyDescent="0.25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x14ac:dyDescent="0.25">
      <c r="A92" t="s">
        <v>54</v>
      </c>
      <c r="D92" s="29">
        <v>1</v>
      </c>
      <c r="F92" s="5">
        <f>F43</f>
        <v>-2028339.5666666664</v>
      </c>
      <c r="G92" s="5">
        <f t="shared" ref="G92:Y92" si="29">G43</f>
        <v>-3295194.4894024245</v>
      </c>
      <c r="H92" s="5">
        <f t="shared" si="29"/>
        <v>-3830278.3010408022</v>
      </c>
      <c r="I92" s="5">
        <f t="shared" si="29"/>
        <v>-3662531.8420340642</v>
      </c>
      <c r="J92" s="5">
        <f t="shared" si="29"/>
        <v>-2577512.995370023</v>
      </c>
      <c r="K92" s="5">
        <f t="shared" si="29"/>
        <v>-884459.0139734</v>
      </c>
      <c r="L92" s="5">
        <f t="shared" si="29"/>
        <v>1389895.8349989019</v>
      </c>
      <c r="M92" s="5">
        <f t="shared" si="29"/>
        <v>10435902.334785815</v>
      </c>
      <c r="N92" s="5">
        <f t="shared" si="29"/>
        <v>20310502.690040797</v>
      </c>
      <c r="O92" s="5">
        <f t="shared" si="29"/>
        <v>30989010.944782484</v>
      </c>
      <c r="P92" s="5">
        <f t="shared" si="29"/>
        <v>42447390.652316183</v>
      </c>
      <c r="Q92" s="5">
        <f t="shared" si="29"/>
        <v>54662238.895229541</v>
      </c>
      <c r="R92" s="5">
        <f t="shared" si="29"/>
        <v>67610770.682339847</v>
      </c>
      <c r="S92" s="5">
        <f t="shared" si="29"/>
        <v>81270803.71395427</v>
      </c>
      <c r="T92" s="5">
        <f t="shared" si="29"/>
        <v>95620743.50699842</v>
      </c>
      <c r="U92" s="5">
        <f t="shared" si="29"/>
        <v>110639568.87175778</v>
      </c>
      <c r="V92" s="5">
        <f t="shared" si="29"/>
        <v>126306817.73216237</v>
      </c>
      <c r="W92" s="5">
        <f t="shared" si="29"/>
        <v>142602573.281726</v>
      </c>
      <c r="X92" s="5">
        <f t="shared" si="29"/>
        <v>159507450.46742886</v>
      </c>
      <c r="Y92" s="5">
        <f t="shared" si="29"/>
        <v>177002582.79400533</v>
      </c>
    </row>
    <row r="93" spans="1:25" x14ac:dyDescent="0.25">
      <c r="D93" s="2">
        <f>D94-10%</f>
        <v>0.8</v>
      </c>
      <c r="F93" s="5">
        <v>3272885.6333333366</v>
      </c>
      <c r="G93" s="5">
        <v>7359160.4748832956</v>
      </c>
      <c r="H93" s="5">
        <v>12229110.991816349</v>
      </c>
      <c r="I93" s="5">
        <v>17853796.343680233</v>
      </c>
      <c r="J93" s="5">
        <v>24399132.818915702</v>
      </c>
      <c r="K93" s="5">
        <v>31612240.286026608</v>
      </c>
      <c r="L93" s="5">
        <v>39466384.477856055</v>
      </c>
      <c r="M93" s="5">
        <v>52908639.127642967</v>
      </c>
      <c r="N93" s="5">
        <v>67179487.632897943</v>
      </c>
      <c r="O93" s="5">
        <v>82254244.037639633</v>
      </c>
      <c r="P93" s="5">
        <v>98108871.895173326</v>
      </c>
      <c r="Q93" s="5">
        <v>114719968.28808668</v>
      </c>
      <c r="R93" s="5">
        <v>132064748.22519699</v>
      </c>
      <c r="S93" s="5">
        <v>150121029.40681142</v>
      </c>
      <c r="T93" s="5">
        <v>168867217.34985557</v>
      </c>
      <c r="U93" s="5">
        <v>188282290.86461493</v>
      </c>
      <c r="V93" s="5">
        <v>208345787.87501952</v>
      </c>
      <c r="W93" s="5">
        <v>229037791.57458317</v>
      </c>
      <c r="X93" s="5">
        <v>250338916.91028601</v>
      </c>
      <c r="Y93" s="5">
        <v>272230297.38686246</v>
      </c>
    </row>
    <row r="94" spans="1:25" x14ac:dyDescent="0.25">
      <c r="D94" s="2">
        <f>D95-10%</f>
        <v>0.9</v>
      </c>
      <c r="F94" s="5">
        <v>622273.03333332762</v>
      </c>
      <c r="G94" s="5">
        <v>2031982.9927404299</v>
      </c>
      <c r="H94" s="5">
        <v>4199416.3453877643</v>
      </c>
      <c r="I94" s="5">
        <v>7095632.2508230731</v>
      </c>
      <c r="J94" s="5">
        <v>10910809.911772832</v>
      </c>
      <c r="K94" s="5">
        <v>15363890.636026599</v>
      </c>
      <c r="L94" s="5">
        <v>20428140.156427473</v>
      </c>
      <c r="M94" s="5">
        <v>31672270.731214389</v>
      </c>
      <c r="N94" s="5">
        <v>43744995.16146937</v>
      </c>
      <c r="O94" s="5">
        <v>56621627.491211057</v>
      </c>
      <c r="P94" s="5">
        <v>70278131.273744762</v>
      </c>
      <c r="Q94" s="5">
        <v>84691103.591658115</v>
      </c>
      <c r="R94" s="5">
        <v>99837759.453768417</v>
      </c>
      <c r="S94" s="5">
        <v>115695916.56038284</v>
      </c>
      <c r="T94" s="5">
        <v>132243980.428427</v>
      </c>
      <c r="U94" s="5">
        <v>149460929.86818635</v>
      </c>
      <c r="V94" s="5">
        <v>167326302.80359095</v>
      </c>
      <c r="W94" s="5">
        <v>185820182.42815459</v>
      </c>
      <c r="X94" s="5">
        <v>204923183.68885744</v>
      </c>
      <c r="Y94" s="5">
        <v>224616440.0904339</v>
      </c>
    </row>
    <row r="95" spans="1:25" x14ac:dyDescent="0.25">
      <c r="D95" s="2">
        <v>1</v>
      </c>
      <c r="E95" s="31" t="s">
        <v>58</v>
      </c>
      <c r="F95" s="5">
        <v>-2028339.5666666664</v>
      </c>
      <c r="G95" s="5">
        <v>-3295194.4894024245</v>
      </c>
      <c r="H95" s="5">
        <v>-3830278.3010408022</v>
      </c>
      <c r="I95" s="5">
        <v>-3662531.8420340642</v>
      </c>
      <c r="J95" s="5">
        <v>-2577512.995370023</v>
      </c>
      <c r="K95" s="5">
        <v>-884459.0139734</v>
      </c>
      <c r="L95" s="5">
        <v>1389895.8349989019</v>
      </c>
      <c r="M95" s="5">
        <v>10435902.334785815</v>
      </c>
      <c r="N95" s="5">
        <v>20310502.690040797</v>
      </c>
      <c r="O95" s="5">
        <v>30989010.944782484</v>
      </c>
      <c r="P95" s="5">
        <v>42447390.652316183</v>
      </c>
      <c r="Q95" s="5">
        <v>54662238.895229541</v>
      </c>
      <c r="R95" s="5">
        <v>67610770.682339847</v>
      </c>
      <c r="S95" s="5">
        <v>81270803.71395427</v>
      </c>
      <c r="T95" s="5">
        <v>95620743.50699842</v>
      </c>
      <c r="U95" s="5">
        <v>110639568.87175778</v>
      </c>
      <c r="V95" s="5">
        <v>126306817.73216237</v>
      </c>
      <c r="W95" s="5">
        <v>142602573.281726</v>
      </c>
      <c r="X95" s="5">
        <v>159507450.46742886</v>
      </c>
      <c r="Y95" s="5">
        <v>177002582.79400533</v>
      </c>
    </row>
    <row r="96" spans="1:25" x14ac:dyDescent="0.25">
      <c r="D96" s="2">
        <f>D95+10%</f>
        <v>1.1000000000000001</v>
      </c>
      <c r="F96" s="5">
        <v>-4678952.1666666679</v>
      </c>
      <c r="G96" s="5">
        <v>-8622371.9715452865</v>
      </c>
      <c r="H96" s="5">
        <v>-11859972.94746938</v>
      </c>
      <c r="I96" s="5">
        <v>-14420695.934891216</v>
      </c>
      <c r="J96" s="5">
        <v>-16065835.902512893</v>
      </c>
      <c r="K96" s="5">
        <v>-17132808.663973417</v>
      </c>
      <c r="L96" s="5">
        <v>-17648348.486429688</v>
      </c>
      <c r="M96" s="5">
        <v>-10800466.061642777</v>
      </c>
      <c r="N96" s="5">
        <v>-3123989.7813877985</v>
      </c>
      <c r="O96" s="5">
        <v>5356394.3983538859</v>
      </c>
      <c r="P96" s="5">
        <v>14616650.030887581</v>
      </c>
      <c r="Q96" s="5">
        <v>24633374.198800936</v>
      </c>
      <c r="R96" s="5">
        <v>35383781.910911232</v>
      </c>
      <c r="S96" s="5">
        <v>46845690.867525652</v>
      </c>
      <c r="T96" s="5">
        <v>58997506.585569799</v>
      </c>
      <c r="U96" s="5">
        <v>71818207.875329152</v>
      </c>
      <c r="V96" s="5">
        <v>85287332.660733745</v>
      </c>
      <c r="W96" s="5">
        <v>99384964.135297388</v>
      </c>
      <c r="X96" s="5">
        <v>114091717.24600023</v>
      </c>
      <c r="Y96" s="5">
        <v>129388725.4975767</v>
      </c>
    </row>
    <row r="97" spans="4:25" x14ac:dyDescent="0.25">
      <c r="D97" s="2">
        <f>D96+10%</f>
        <v>1.2000000000000002</v>
      </c>
      <c r="F97" s="5">
        <v>-7329564.7666666657</v>
      </c>
      <c r="G97" s="5">
        <v>-13949549.453688137</v>
      </c>
      <c r="H97" s="5">
        <v>-19889667.593897942</v>
      </c>
      <c r="I97" s="5">
        <v>-25178860.027748346</v>
      </c>
      <c r="J97" s="5">
        <v>-29554158.809655733</v>
      </c>
      <c r="K97" s="5">
        <v>-33381158.313973393</v>
      </c>
      <c r="L97" s="5">
        <v>-36686592.807858229</v>
      </c>
      <c r="M97" s="5">
        <v>-32036834.458071314</v>
      </c>
      <c r="N97" s="5">
        <v>-26558482.252816331</v>
      </c>
      <c r="O97" s="5">
        <v>-20276222.148074642</v>
      </c>
      <c r="P97" s="5">
        <v>-13214090.590540942</v>
      </c>
      <c r="Q97" s="5">
        <v>-5395490.4976275824</v>
      </c>
      <c r="R97" s="5">
        <v>3156793.1394827198</v>
      </c>
      <c r="S97" s="5">
        <v>12420578.021097148</v>
      </c>
      <c r="T97" s="5">
        <v>22374269.664141297</v>
      </c>
      <c r="U97" s="5">
        <v>32996846.878900655</v>
      </c>
      <c r="V97" s="5">
        <v>44267847.589305252</v>
      </c>
      <c r="W97" s="5">
        <v>56167354.988868892</v>
      </c>
      <c r="X97" s="5">
        <v>68675984.024571747</v>
      </c>
      <c r="Y97" s="5">
        <v>81774868.201148212</v>
      </c>
    </row>
    <row r="98" spans="4:25" x14ac:dyDescent="0.25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132" spans="1:25" x14ac:dyDescent="0.25">
      <c r="F132">
        <v>2028</v>
      </c>
      <c r="G132">
        <v>2029</v>
      </c>
      <c r="H132">
        <v>2030</v>
      </c>
      <c r="I132">
        <v>2031</v>
      </c>
      <c r="J132">
        <v>2032</v>
      </c>
      <c r="K132">
        <v>2033</v>
      </c>
      <c r="L132">
        <v>2034</v>
      </c>
      <c r="M132">
        <v>2035</v>
      </c>
      <c r="N132">
        <v>2036</v>
      </c>
      <c r="O132">
        <v>2037</v>
      </c>
      <c r="P132">
        <v>2038</v>
      </c>
      <c r="Q132">
        <v>2039</v>
      </c>
      <c r="R132">
        <v>2040</v>
      </c>
      <c r="S132">
        <v>2041</v>
      </c>
      <c r="T132">
        <v>2042</v>
      </c>
      <c r="U132">
        <v>2043</v>
      </c>
      <c r="V132">
        <v>2044</v>
      </c>
      <c r="W132">
        <v>2045</v>
      </c>
      <c r="X132">
        <v>2046</v>
      </c>
      <c r="Y132">
        <v>2047</v>
      </c>
    </row>
    <row r="133" spans="1:25" x14ac:dyDescent="0.25">
      <c r="F133" s="38">
        <v>1</v>
      </c>
      <c r="G133" s="37">
        <f>F133+($M$133-$F$133)/($M$132-$F$132)</f>
        <v>0.9642857142857143</v>
      </c>
      <c r="H133" s="37">
        <f t="shared" ref="H133:L133" si="30">G133+($M$133-$F$133)/($M$132-$F$132)</f>
        <v>0.9285714285714286</v>
      </c>
      <c r="I133" s="37">
        <f t="shared" si="30"/>
        <v>0.8928571428571429</v>
      </c>
      <c r="J133" s="37">
        <f t="shared" si="30"/>
        <v>0.85714285714285721</v>
      </c>
      <c r="K133" s="37">
        <f t="shared" si="30"/>
        <v>0.82142857142857151</v>
      </c>
      <c r="L133" s="37">
        <f t="shared" si="30"/>
        <v>0.78571428571428581</v>
      </c>
      <c r="M133" s="38">
        <v>0.75</v>
      </c>
      <c r="N133" s="2">
        <f>M133</f>
        <v>0.75</v>
      </c>
      <c r="O133" s="2">
        <f t="shared" ref="O133:Y133" si="31">N133</f>
        <v>0.75</v>
      </c>
      <c r="P133" s="2">
        <f t="shared" si="31"/>
        <v>0.75</v>
      </c>
      <c r="Q133" s="2">
        <f t="shared" si="31"/>
        <v>0.75</v>
      </c>
      <c r="R133" s="2">
        <f t="shared" si="31"/>
        <v>0.75</v>
      </c>
      <c r="S133" s="2">
        <f t="shared" si="31"/>
        <v>0.75</v>
      </c>
      <c r="T133" s="2">
        <f t="shared" si="31"/>
        <v>0.75</v>
      </c>
      <c r="U133" s="2">
        <f t="shared" si="31"/>
        <v>0.75</v>
      </c>
      <c r="V133" s="2">
        <f t="shared" si="31"/>
        <v>0.75</v>
      </c>
      <c r="W133" s="2">
        <f t="shared" si="31"/>
        <v>0.75</v>
      </c>
      <c r="X133" s="2">
        <f t="shared" si="31"/>
        <v>0.75</v>
      </c>
      <c r="Y133" s="2">
        <f t="shared" si="31"/>
        <v>0.75</v>
      </c>
    </row>
    <row r="134" spans="1:25" x14ac:dyDescent="0.25">
      <c r="A134" t="s">
        <v>64</v>
      </c>
      <c r="E134" s="1">
        <v>7266639</v>
      </c>
      <c r="F134">
        <f>$E$134*F133</f>
        <v>7266639</v>
      </c>
      <c r="G134">
        <f t="shared" ref="G134:I134" si="32">$E$134*G133</f>
        <v>7007116.1785714291</v>
      </c>
      <c r="H134">
        <f t="shared" si="32"/>
        <v>6747593.3571428573</v>
      </c>
      <c r="I134">
        <f t="shared" si="32"/>
        <v>6488070.5357142864</v>
      </c>
    </row>
    <row r="135" spans="1:25" x14ac:dyDescent="0.25">
      <c r="E135" s="1">
        <v>8363020</v>
      </c>
      <c r="J135">
        <f>$E$135*J133</f>
        <v>7168302.8571428573</v>
      </c>
      <c r="K135">
        <f t="shared" ref="K135:L135" si="33">$E$135*K133</f>
        <v>6869623.5714285718</v>
      </c>
      <c r="L135">
        <f t="shared" si="33"/>
        <v>6570944.2857142864</v>
      </c>
    </row>
    <row r="136" spans="1:25" x14ac:dyDescent="0.25">
      <c r="E136" s="1">
        <v>8679035</v>
      </c>
      <c r="M136">
        <f>$E$136*M133</f>
        <v>6509276.25</v>
      </c>
      <c r="N136">
        <f t="shared" ref="N136:Y136" si="34">$E$136*N133</f>
        <v>6509276.25</v>
      </c>
      <c r="O136">
        <f t="shared" si="34"/>
        <v>6509276.25</v>
      </c>
      <c r="P136">
        <f t="shared" si="34"/>
        <v>6509276.25</v>
      </c>
      <c r="Q136">
        <f t="shared" si="34"/>
        <v>6509276.25</v>
      </c>
      <c r="R136">
        <f t="shared" si="34"/>
        <v>6509276.25</v>
      </c>
      <c r="S136">
        <f t="shared" si="34"/>
        <v>6509276.25</v>
      </c>
      <c r="T136">
        <f t="shared" si="34"/>
        <v>6509276.25</v>
      </c>
      <c r="U136">
        <f t="shared" si="34"/>
        <v>6509276.25</v>
      </c>
      <c r="V136">
        <f t="shared" si="34"/>
        <v>6509276.25</v>
      </c>
      <c r="W136">
        <f t="shared" si="34"/>
        <v>6509276.25</v>
      </c>
      <c r="X136">
        <f t="shared" si="34"/>
        <v>6509276.25</v>
      </c>
      <c r="Y136">
        <f t="shared" si="34"/>
        <v>6509276.25</v>
      </c>
    </row>
    <row r="138" spans="1:25" x14ac:dyDescent="0.25">
      <c r="D138" t="s">
        <v>63</v>
      </c>
      <c r="F138">
        <f>$E$134-F134</f>
        <v>0</v>
      </c>
      <c r="G138">
        <f t="shared" ref="G138:I138" si="35">$E$134-G134</f>
        <v>259522.8214285709</v>
      </c>
      <c r="H138">
        <f t="shared" si="35"/>
        <v>519045.64285714272</v>
      </c>
      <c r="I138">
        <f t="shared" si="35"/>
        <v>778568.46428571362</v>
      </c>
      <c r="J138">
        <f>$E$135-J135</f>
        <v>1194717.1428571427</v>
      </c>
      <c r="K138">
        <f t="shared" ref="K138:L138" si="36">$E$135-K135</f>
        <v>1493396.4285714282</v>
      </c>
      <c r="L138">
        <f t="shared" si="36"/>
        <v>1792075.7142857136</v>
      </c>
      <c r="M138">
        <f>$E$136-M136</f>
        <v>2169758.75</v>
      </c>
      <c r="N138">
        <f t="shared" ref="N138:Y138" si="37">$E$136-N136</f>
        <v>2169758.75</v>
      </c>
      <c r="O138">
        <f t="shared" si="37"/>
        <v>2169758.75</v>
      </c>
      <c r="P138">
        <f t="shared" si="37"/>
        <v>2169758.75</v>
      </c>
      <c r="Q138">
        <f t="shared" si="37"/>
        <v>2169758.75</v>
      </c>
      <c r="R138">
        <f t="shared" si="37"/>
        <v>2169758.75</v>
      </c>
      <c r="S138">
        <f t="shared" si="37"/>
        <v>2169758.75</v>
      </c>
      <c r="T138">
        <f t="shared" si="37"/>
        <v>2169758.75</v>
      </c>
      <c r="U138">
        <f t="shared" si="37"/>
        <v>2169758.75</v>
      </c>
      <c r="V138">
        <f t="shared" si="37"/>
        <v>2169758.75</v>
      </c>
      <c r="W138">
        <f t="shared" si="37"/>
        <v>2169758.75</v>
      </c>
      <c r="X138">
        <f t="shared" si="37"/>
        <v>2169758.75</v>
      </c>
      <c r="Y138">
        <f t="shared" si="37"/>
        <v>2169758.75</v>
      </c>
    </row>
    <row r="142" spans="1:25" x14ac:dyDescent="0.25">
      <c r="E142" s="37"/>
    </row>
  </sheetData>
  <conditionalFormatting sqref="A78">
    <cfRule type="cellIs" dxfId="12" priority="5" operator="lessThan">
      <formula>0</formula>
    </cfRule>
  </conditionalFormatting>
  <conditionalFormatting sqref="A85">
    <cfRule type="cellIs" dxfId="11" priority="4" operator="lessThan">
      <formula>0</formula>
    </cfRule>
  </conditionalFormatting>
  <conditionalFormatting sqref="A4:Y4 A5:B5 D5:Y5 A8:Y9 Z9:AI9 A21:Y21 C22:AI22 A40:Y41 A42:A44">
    <cfRule type="cellIs" dxfId="10" priority="15" operator="lessThan">
      <formula>0</formula>
    </cfRule>
  </conditionalFormatting>
  <conditionalFormatting sqref="A31:Y31">
    <cfRule type="cellIs" dxfId="9" priority="11" operator="lessThan">
      <formula>0</formula>
    </cfRule>
  </conditionalFormatting>
  <conditionalFormatting sqref="A77:Y77">
    <cfRule type="cellIs" dxfId="8" priority="3" operator="lessThan">
      <formula>0</formula>
    </cfRule>
  </conditionalFormatting>
  <conditionalFormatting sqref="B6:B7">
    <cfRule type="cellIs" dxfId="7" priority="7" operator="lessThan">
      <formula>0</formula>
    </cfRule>
  </conditionalFormatting>
  <conditionalFormatting sqref="B24:E24 A25:Y26 A36:Y36">
    <cfRule type="cellIs" dxfId="6" priority="18" operator="lessThan">
      <formula>0</formula>
    </cfRule>
  </conditionalFormatting>
  <conditionalFormatting sqref="B43:E43">
    <cfRule type="cellIs" dxfId="5" priority="12" operator="lessThan">
      <formula>0</formula>
    </cfRule>
  </conditionalFormatting>
  <conditionalFormatting sqref="B27:Y30">
    <cfRule type="cellIs" dxfId="4" priority="1" operator="lessThan">
      <formula>0</formula>
    </cfRule>
  </conditionalFormatting>
  <conditionalFormatting sqref="B32:Y35">
    <cfRule type="cellIs" dxfId="3" priority="13" operator="lessThan">
      <formula>0</formula>
    </cfRule>
  </conditionalFormatting>
  <conditionalFormatting sqref="B37:Y39">
    <cfRule type="cellIs" dxfId="2" priority="16" operator="lessThan">
      <formula>0</formula>
    </cfRule>
  </conditionalFormatting>
  <conditionalFormatting sqref="B42:Y42">
    <cfRule type="cellIs" dxfId="1" priority="17" operator="lessThan">
      <formula>0</formula>
    </cfRule>
  </conditionalFormatting>
  <conditionalFormatting sqref="F6:Y7">
    <cfRule type="cellIs" dxfId="0" priority="8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83D92-43ED-4646-B66B-4FDC87574C1F}">
  <dimension ref="A6:V39"/>
  <sheetViews>
    <sheetView workbookViewId="0">
      <selection activeCell="P21" sqref="P21"/>
    </sheetView>
  </sheetViews>
  <sheetFormatPr defaultRowHeight="15" x14ac:dyDescent="0.25"/>
  <cols>
    <col min="1" max="1" width="22" bestFit="1" customWidth="1"/>
    <col min="2" max="2" width="23.28515625" bestFit="1" customWidth="1"/>
    <col min="3" max="22" width="10.7109375" customWidth="1"/>
  </cols>
  <sheetData>
    <row r="6" spans="1:22" x14ac:dyDescent="0.25">
      <c r="A6" t="s">
        <v>35</v>
      </c>
      <c r="B6" s="13">
        <v>176731</v>
      </c>
      <c r="C6" t="s">
        <v>36</v>
      </c>
    </row>
    <row r="7" spans="1:22" x14ac:dyDescent="0.25">
      <c r="A7" t="s">
        <v>37</v>
      </c>
      <c r="B7" s="1">
        <v>18.100000000000001</v>
      </c>
      <c r="C7" t="s">
        <v>36</v>
      </c>
    </row>
    <row r="10" spans="1:22" x14ac:dyDescent="0.25"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  <c r="J10" t="s">
        <v>9</v>
      </c>
      <c r="K10" t="s">
        <v>10</v>
      </c>
      <c r="L10" t="s">
        <v>11</v>
      </c>
      <c r="M10" t="s">
        <v>12</v>
      </c>
      <c r="N10" t="s">
        <v>13</v>
      </c>
      <c r="O10" t="s">
        <v>14</v>
      </c>
      <c r="P10" t="s">
        <v>15</v>
      </c>
      <c r="Q10" t="s">
        <v>16</v>
      </c>
      <c r="R10" t="s">
        <v>17</v>
      </c>
      <c r="S10" t="s">
        <v>18</v>
      </c>
      <c r="T10" t="s">
        <v>19</v>
      </c>
      <c r="U10" t="s">
        <v>20</v>
      </c>
      <c r="V10" t="s">
        <v>21</v>
      </c>
    </row>
    <row r="11" spans="1:22" x14ac:dyDescent="0.25">
      <c r="B11" t="s">
        <v>38</v>
      </c>
      <c r="C11" s="3">
        <f>('Selskabsøkonomi+Følsomhed'!F42/Brugerøkonomi!$B$6)*(1-0.1997)</f>
        <v>-9.1850334983864368</v>
      </c>
      <c r="D11" s="3">
        <f>('Selskabsøkonomi+Følsomhed'!G42/Brugerøkonomi!$B$6)*(1-0.1997)</f>
        <v>-5.7367637520606305</v>
      </c>
      <c r="E11" s="3">
        <f>('Selskabsøkonomi+Følsomhed'!H42/Brugerøkonomi!$B$6)*(1-0.1997)</f>
        <v>-2.4230473117573803</v>
      </c>
      <c r="F11" s="3">
        <f>('Selskabsøkonomi+Følsomhed'!I42/Brugerøkonomi!$B$6)*(1-0.1997)</f>
        <v>0.75961484483815722</v>
      </c>
      <c r="G11" s="3">
        <f>('Selskabsøkonomi+Følsomhed'!J42/Brugerøkonomi!$B$6)*(1-0.1997)</f>
        <v>4.9133461757429773</v>
      </c>
      <c r="H11" s="3">
        <f>('Selskabsøkonomi+Følsomhed'!K42/Brugerøkonomi!$B$6)*(1-0.1997)</f>
        <v>7.6667426841454951</v>
      </c>
      <c r="I11" s="3">
        <f>('Selskabsøkonomi+Følsomhed'!L42/Brugerøkonomi!$B$6)*(1-0.1997)</f>
        <v>10.299077047221672</v>
      </c>
      <c r="J11" s="3">
        <f>('Selskabsøkonomi+Følsomhed'!M42/Brugerøkonomi!$B$6)*(1-0.1997)</f>
        <v>40.963492549577985</v>
      </c>
      <c r="K11" s="3">
        <f>('Selskabsøkonomi+Følsomhed'!N42/Brugerøkonomi!$B$6)*(1-0.1997)</f>
        <v>44.715656360856677</v>
      </c>
      <c r="L11" s="3">
        <f>('Selskabsøkonomi+Følsomhed'!O42/Brugerøkonomi!$B$6)*(1-0.1997)</f>
        <v>48.356033498762372</v>
      </c>
      <c r="M11" s="3">
        <f>('Selskabsøkonomi+Følsomhed'!P42/Brugerøkonomi!$B$6)*(1-0.1997)</f>
        <v>51.887565169320716</v>
      </c>
      <c r="N11" s="3">
        <f>('Selskabsøkonomi+Følsomhed'!Q42/Brugerøkonomi!$B$6)*(1-0.1997)</f>
        <v>55.313120215488851</v>
      </c>
      <c r="O11" s="3">
        <f>('Selskabsøkonomi+Følsomhed'!R42/Brugerøkonomi!$B$6)*(1-0.1997)</f>
        <v>58.635496824124644</v>
      </c>
      <c r="P11" s="3">
        <f>('Selskabsøkonomi+Følsomhed'!S42/Brugerøkonomi!$B$6)*(1-0.1997)</f>
        <v>61.857424193837105</v>
      </c>
      <c r="Q11" s="3">
        <f>('Selskabsøkonomi+Følsomhed'!T42/Brugerøkonomi!$B$6)*(1-0.1997)</f>
        <v>64.98156416459608</v>
      </c>
      <c r="R11" s="3">
        <f>('Selskabsøkonomi+Følsomhed'!U42/Brugerøkonomi!$B$6)*(1-0.1997)</f>
        <v>68.01051280995928</v>
      </c>
      <c r="S11" s="3">
        <f>('Selskabsøkonomi+Følsomhed'!V42/Brugerøkonomi!$B$6)*(1-0.1997)</f>
        <v>70.946801992756193</v>
      </c>
      <c r="T11" s="3">
        <f>('Selskabsøkonomi+Følsomhed'!W42/Brugerøkonomi!$B$6)*(1-0.1997)</f>
        <v>73.792900885050074</v>
      </c>
      <c r="U11" s="3">
        <f>('Selskabsøkonomi+Følsomhed'!X42/Brugerøkonomi!$B$6)*(1-0.1997)</f>
        <v>76.551217453180186</v>
      </c>
      <c r="V11" s="3">
        <f>('Selskabsøkonomi+Følsomhed'!Y42/Brugerøkonomi!$B$6)*(1-0.1997)</f>
        <v>79.224099908669942</v>
      </c>
    </row>
    <row r="12" spans="1:22" x14ac:dyDescent="0.25">
      <c r="B12" t="s">
        <v>39</v>
      </c>
      <c r="C12" s="5">
        <f>C11*$B$7</f>
        <v>-166.24910632079451</v>
      </c>
      <c r="D12" s="5">
        <f t="shared" ref="D12:V12" si="0">D11*$B$7</f>
        <v>-103.83542391229741</v>
      </c>
      <c r="E12" s="5">
        <f t="shared" si="0"/>
        <v>-43.857156342808587</v>
      </c>
      <c r="F12" s="5">
        <f t="shared" si="0"/>
        <v>13.749028691570647</v>
      </c>
      <c r="G12" s="5">
        <f t="shared" si="0"/>
        <v>88.931565780947892</v>
      </c>
      <c r="H12" s="5">
        <f t="shared" si="0"/>
        <v>138.76804258303346</v>
      </c>
      <c r="I12" s="5">
        <f t="shared" si="0"/>
        <v>186.41329455471228</v>
      </c>
      <c r="J12" s="5">
        <f t="shared" si="0"/>
        <v>741.43921514736155</v>
      </c>
      <c r="K12" s="5">
        <f t="shared" si="0"/>
        <v>809.3533801315059</v>
      </c>
      <c r="L12" s="5">
        <f t="shared" si="0"/>
        <v>875.24420632759904</v>
      </c>
      <c r="M12" s="5">
        <f t="shared" si="0"/>
        <v>939.16492956470506</v>
      </c>
      <c r="N12" s="5">
        <f t="shared" si="0"/>
        <v>1001.1674759003483</v>
      </c>
      <c r="O12" s="5">
        <f t="shared" si="0"/>
        <v>1061.3024925166562</v>
      </c>
      <c r="P12" s="5">
        <f t="shared" si="0"/>
        <v>1119.6193779084517</v>
      </c>
      <c r="Q12" s="5">
        <f t="shared" si="0"/>
        <v>1176.1663113791892</v>
      </c>
      <c r="R12" s="5">
        <f t="shared" si="0"/>
        <v>1230.9902818602632</v>
      </c>
      <c r="S12" s="5">
        <f t="shared" si="0"/>
        <v>1284.1371160688873</v>
      </c>
      <c r="T12" s="5">
        <f t="shared" si="0"/>
        <v>1335.6515060194065</v>
      </c>
      <c r="U12" s="5">
        <f t="shared" si="0"/>
        <v>1385.5770359025614</v>
      </c>
      <c r="V12" s="5">
        <f t="shared" si="0"/>
        <v>1433.9562083469261</v>
      </c>
    </row>
    <row r="14" spans="1:22" x14ac:dyDescent="0.25">
      <c r="D14" s="3"/>
      <c r="E14" s="4"/>
    </row>
    <row r="15" spans="1:22" x14ac:dyDescent="0.25">
      <c r="D15" s="3"/>
      <c r="E15" s="4"/>
    </row>
    <row r="16" spans="1:22" x14ac:dyDescent="0.25">
      <c r="D16" s="3"/>
      <c r="E16" s="4"/>
    </row>
    <row r="17" spans="4:5" x14ac:dyDescent="0.25">
      <c r="D17" s="3"/>
      <c r="E17" s="4"/>
    </row>
    <row r="18" spans="4:5" x14ac:dyDescent="0.25">
      <c r="D18" s="3"/>
      <c r="E18" s="4"/>
    </row>
    <row r="19" spans="4:5" x14ac:dyDescent="0.25">
      <c r="D19" s="3"/>
      <c r="E19" s="4"/>
    </row>
    <row r="20" spans="4:5" x14ac:dyDescent="0.25">
      <c r="D20" s="3"/>
      <c r="E20" s="4"/>
    </row>
    <row r="21" spans="4:5" x14ac:dyDescent="0.25">
      <c r="D21" s="3"/>
      <c r="E21" s="4"/>
    </row>
    <row r="22" spans="4:5" x14ac:dyDescent="0.25">
      <c r="D22" s="3"/>
      <c r="E22" s="4"/>
    </row>
    <row r="23" spans="4:5" x14ac:dyDescent="0.25">
      <c r="D23" s="3"/>
      <c r="E23" s="4"/>
    </row>
    <row r="24" spans="4:5" x14ac:dyDescent="0.25">
      <c r="D24" s="3"/>
      <c r="E24" s="4"/>
    </row>
    <row r="25" spans="4:5" x14ac:dyDescent="0.25">
      <c r="D25" s="3"/>
      <c r="E25" s="4"/>
    </row>
    <row r="26" spans="4:5" x14ac:dyDescent="0.25">
      <c r="D26" s="3"/>
      <c r="E26" s="4"/>
    </row>
    <row r="27" spans="4:5" x14ac:dyDescent="0.25">
      <c r="D27" s="3"/>
      <c r="E27" s="4"/>
    </row>
    <row r="28" spans="4:5" x14ac:dyDescent="0.25">
      <c r="D28" s="3"/>
      <c r="E28" s="4"/>
    </row>
    <row r="29" spans="4:5" x14ac:dyDescent="0.25">
      <c r="D29" s="3"/>
      <c r="E29" s="4"/>
    </row>
    <row r="30" spans="4:5" x14ac:dyDescent="0.25">
      <c r="D30" s="3"/>
      <c r="E30" s="4"/>
    </row>
    <row r="31" spans="4:5" x14ac:dyDescent="0.25">
      <c r="D31" s="3"/>
      <c r="E31" s="4"/>
    </row>
    <row r="32" spans="4:5" x14ac:dyDescent="0.25">
      <c r="D32" s="3"/>
      <c r="E32" s="4"/>
    </row>
    <row r="33" spans="4:5" x14ac:dyDescent="0.25">
      <c r="D33" s="3"/>
      <c r="E33" s="4"/>
    </row>
    <row r="34" spans="4:5" x14ac:dyDescent="0.25">
      <c r="D34" s="3"/>
      <c r="E34" s="4"/>
    </row>
    <row r="35" spans="4:5" x14ac:dyDescent="0.25">
      <c r="D35" s="3"/>
      <c r="E35" s="4"/>
    </row>
    <row r="36" spans="4:5" x14ac:dyDescent="0.25">
      <c r="D36" s="3"/>
      <c r="E36" s="4"/>
    </row>
    <row r="37" spans="4:5" x14ac:dyDescent="0.25">
      <c r="D37" s="3"/>
      <c r="E37" s="4"/>
    </row>
    <row r="38" spans="4:5" x14ac:dyDescent="0.25">
      <c r="D38" s="3"/>
      <c r="E38" s="4"/>
    </row>
    <row r="39" spans="4:5" x14ac:dyDescent="0.25">
      <c r="D39" s="3"/>
      <c r="E39" s="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e96029-fc87-4937-a98a-deb39c7646c3">
      <Terms xmlns="http://schemas.microsoft.com/office/infopath/2007/PartnerControls"/>
    </lcf76f155ced4ddcb4097134ff3c332f>
    <TaxCatchAll xmlns="931915cc-ed6e-4c20-97b2-e4c25bdcbbad" xsi:nil="true"/>
    <Projektnummer xmlns="49e96029-fc87-4937-a98a-deb39c7646c3" xsi:nil="true"/>
    <Dokumentnr0 xmlns="49e96029-fc87-4937-a98a-deb39c7646c3" xsi:nil="true"/>
    <dokumentnr xmlns="49e96029-fc87-4937-a98a-deb39c7646c3" xsi:nil="true"/>
    <Status xmlns="49e96029-fc87-4937-a98a-deb39c7646c3" xsi:nil="true"/>
    <_Flow_SignoffStatus xmlns="49e96029-fc87-4937-a98a-deb39c7646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0116682F5A974F86C3A3231CF1CC3C" ma:contentTypeVersion="22" ma:contentTypeDescription="Opret et nyt dokument." ma:contentTypeScope="" ma:versionID="02530f1eff3867a777ce2f60015d5f6c">
  <xsd:schema xmlns:xsd="http://www.w3.org/2001/XMLSchema" xmlns:xs="http://www.w3.org/2001/XMLSchema" xmlns:p="http://schemas.microsoft.com/office/2006/metadata/properties" xmlns:ns2="49e96029-fc87-4937-a98a-deb39c7646c3" xmlns:ns3="931915cc-ed6e-4c20-97b2-e4c25bdcbbad" targetNamespace="http://schemas.microsoft.com/office/2006/metadata/properties" ma:root="true" ma:fieldsID="b59c7b5e885d44c7836a4eafba5ff612" ns2:_="" ns3:_="">
    <xsd:import namespace="49e96029-fc87-4937-a98a-deb39c7646c3"/>
    <xsd:import namespace="931915cc-ed6e-4c20-97b2-e4c25bdcb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Projektnummer" minOccurs="0"/>
                <xsd:element ref="ns2:Status" minOccurs="0"/>
                <xsd:element ref="ns2:dokumentnr" minOccurs="0"/>
                <xsd:element ref="ns2:Dokumentnr0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96029-fc87-4937-a98a-deb39c7646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291621a3-6736-4c11-b72f-2731933488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jektnummer" ma:index="23" nillable="true" ma:displayName="Projektnummer" ma:decimals="0" ma:description="Internt projektnummer" ma:format="Dropdown" ma:internalName="Projektnummer" ma:percentage="FALSE">
      <xsd:simpleType>
        <xsd:restriction base="dms:Number"/>
      </xsd:simpleType>
    </xsd:element>
    <xsd:element name="Status" ma:index="24" nillable="true" ma:displayName="Status" ma:format="Dropdown" ma:internalName="Status">
      <xsd:simpleType>
        <xsd:restriction base="dms:Choice">
          <xsd:enumeration value="Tilbud"/>
          <xsd:enumeration value="Igangværende"/>
          <xsd:enumeration value="Fuldført"/>
          <xsd:enumeration value="Arkiv"/>
        </xsd:restriction>
      </xsd:simpleType>
    </xsd:element>
    <xsd:element name="dokumentnr" ma:index="25" nillable="true" ma:displayName="dokument nr" ma:decimals="0" ma:format="Dropdown" ma:internalName="dokumentnr" ma:percentage="FALSE">
      <xsd:simpleType>
        <xsd:restriction base="dms:Number"/>
      </xsd:simpleType>
    </xsd:element>
    <xsd:element name="Dokumentnr0" ma:index="26" nillable="true" ma:displayName="Dokument nr" ma:format="Dropdown" ma:internalName="Dokumentnr0" ma:percentage="FALSE">
      <xsd:simpleType>
        <xsd:restriction base="dms:Number"/>
      </xsd:simpleType>
    </xsd:element>
    <xsd:element name="_Flow_SignoffStatus" ma:index="27" nillable="true" ma:displayName="Godkendelsesstatus" ma:internalName="_x0024_Resources_x003a_core_x002c_Signoff_Status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915cc-ed6e-4c20-97b2-e4c25bdcbb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d876d72-e633-4dea-95a9-d603bf2b78df}" ma:internalName="TaxCatchAll" ma:showField="CatchAllData" ma:web="931915cc-ed6e-4c20-97b2-e4c25bdcb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4195D5-F02E-4684-B544-88C94DF0E5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5929A6-79C4-42A2-BFFD-0FDC1F38E4E4}">
  <ds:schemaRefs>
    <ds:schemaRef ds:uri="http://schemas.microsoft.com/office/infopath/2007/PartnerControls"/>
    <ds:schemaRef ds:uri="http://schemas.microsoft.com/office/2006/metadata/properties"/>
    <ds:schemaRef ds:uri="931915cc-ed6e-4c20-97b2-e4c25bdcbbad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49e96029-fc87-4937-a98a-deb39c7646c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A73B6E-429D-4C84-86AF-4F56E41D3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96029-fc87-4937-a98a-deb39c7646c3"/>
    <ds:schemaRef ds:uri="931915cc-ed6e-4c20-97b2-e4c25bdcb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Selskabsøkonomi+Følsomhed</vt:lpstr>
      <vt:lpstr>Brugerøkonomi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Thomsen</dc:creator>
  <cp:keywords/>
  <dc:description/>
  <cp:lastModifiedBy>Anders Skovgaard Søholm</cp:lastModifiedBy>
  <cp:revision/>
  <dcterms:created xsi:type="dcterms:W3CDTF">2015-06-05T18:19:34Z</dcterms:created>
  <dcterms:modified xsi:type="dcterms:W3CDTF">2025-09-18T14:07:44Z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0x0101004E0116682F5A974F86C3A3231CF1CC3C</vt:lpwstr>
  </property>
  <property fmtid="{D5CDD505-2E9C-101B-9397-08002B2CF9AE}" pid="3" name="Order">
    <vt:r8>65723400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